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16" tabRatio="679" activeTab="0"/>
  </bookViews>
  <sheets>
    <sheet name="FY 19-20" sheetId="1" r:id="rId1"/>
    <sheet name="FY 18-19" sheetId="2" r:id="rId2"/>
    <sheet name="FY 17-18" sheetId="3" r:id="rId3"/>
    <sheet name="FY 16-17" sheetId="4" r:id="rId4"/>
    <sheet name="FY 15-16" sheetId="5" r:id="rId5"/>
    <sheet name="FY 14-15" sheetId="6" r:id="rId6"/>
    <sheet name="FY 13-14" sheetId="7" r:id="rId7"/>
    <sheet name="FY 12-13" sheetId="8" r:id="rId8"/>
    <sheet name="FY 11-12" sheetId="9" r:id="rId9"/>
    <sheet name="FY 10-11" sheetId="10" r:id="rId10"/>
    <sheet name="FY 09-10" sheetId="11" r:id="rId11"/>
    <sheet name="FY 08-09" sheetId="12" r:id="rId12"/>
    <sheet name="FY 07-08" sheetId="13" r:id="rId13"/>
    <sheet name="FY 06-07" sheetId="14" r:id="rId14"/>
    <sheet name="FY 05-06" sheetId="15" r:id="rId15"/>
    <sheet name="FY 04-05" sheetId="16" r:id="rId16"/>
  </sheets>
  <definedNames>
    <definedName name="_xlfn.IFERROR" hidden="1">#NAME?</definedName>
    <definedName name="_xlnm.Print_Area" localSheetId="15">'FY 04-05'!$A$1:$K$63</definedName>
    <definedName name="_xlnm.Print_Area" localSheetId="14">'FY 05-06'!$A$1:$K$67</definedName>
    <definedName name="_xlnm.Print_Area" localSheetId="13">'FY 06-07'!$A$1:$K$63</definedName>
    <definedName name="_xlnm.Print_Area" localSheetId="12">'FY 07-08'!$A$1:$K$71</definedName>
    <definedName name="_xlnm.Print_Area" localSheetId="11">'FY 08-09'!$A$1:$K$69</definedName>
    <definedName name="_xlnm.Print_Area" localSheetId="10">'FY 09-10'!$A$1:$L$72</definedName>
    <definedName name="_xlnm.Print_Area" localSheetId="9">'FY 10-11'!$A$1:$L$75</definedName>
    <definedName name="_xlnm.Print_Area" localSheetId="8">'FY 11-12'!$A$1:$L$72</definedName>
    <definedName name="_xlnm.Print_Area" localSheetId="7">'FY 12-13'!$A$1:$L$72</definedName>
    <definedName name="_xlnm.Print_Area" localSheetId="6">'FY 13-14'!$A$1:$L$72</definedName>
    <definedName name="_xlnm.Print_Area" localSheetId="5">'FY 14-15'!$A$1:$L$72</definedName>
    <definedName name="_xlnm.Print_Area" localSheetId="4">'FY 15-16'!$A$1:$L$72</definedName>
    <definedName name="_xlnm.Print_Area" localSheetId="3">'FY 16-17'!$A$1:$L$72</definedName>
    <definedName name="_xlnm.Print_Area" localSheetId="2">'FY 17-18'!$A$1:$L$76</definedName>
    <definedName name="_xlnm.Print_Area" localSheetId="1">'FY 18-19'!$A$1:$L$76</definedName>
    <definedName name="_xlnm.Print_Area" localSheetId="0">'FY 19-20'!$A$1:$K$74</definedName>
  </definedNames>
  <calcPr fullCalcOnLoad="1"/>
</workbook>
</file>

<file path=xl/sharedStrings.xml><?xml version="1.0" encoding="utf-8"?>
<sst xmlns="http://schemas.openxmlformats.org/spreadsheetml/2006/main" count="1100" uniqueCount="115">
  <si>
    <t>204 State Route 17B</t>
  </si>
  <si>
    <t>Monticello, NY 12701</t>
  </si>
  <si>
    <t>www.monticellogamingandraceway.com</t>
  </si>
  <si>
    <t>(866) 777-4263</t>
  </si>
  <si>
    <t>Fiscal Year 2004/05</t>
  </si>
  <si>
    <t>Distribution of Net Win:</t>
  </si>
  <si>
    <t>Credits</t>
  </si>
  <si>
    <t>Avg Daily</t>
  </si>
  <si>
    <t>Win/VGM</t>
  </si>
  <si>
    <t>Education</t>
  </si>
  <si>
    <t>Marketing</t>
  </si>
  <si>
    <t>Month</t>
  </si>
  <si>
    <t>Played</t>
  </si>
  <si>
    <t>Won</t>
  </si>
  <si>
    <t>Net Win</t>
  </si>
  <si>
    <t>VGM's</t>
  </si>
  <si>
    <t>per Day</t>
  </si>
  <si>
    <t>Contribution</t>
  </si>
  <si>
    <t>Commission</t>
  </si>
  <si>
    <t>Allowance</t>
  </si>
  <si>
    <t>Total</t>
  </si>
  <si>
    <t>Definition of Terms</t>
  </si>
  <si>
    <t>Credits Played:</t>
  </si>
  <si>
    <t>Credits Won:</t>
  </si>
  <si>
    <t>The amount of onscreen credits won on a VGM.  Also includes any progressive jackpot liability due to players.</t>
  </si>
  <si>
    <t>Net Win:</t>
  </si>
  <si>
    <t xml:space="preserve">The net revenues remaining after payout of prizes to players. (Credits Played less Credits Won)  Net win is </t>
  </si>
  <si>
    <t>commonly referred to as "Hold" or "Net Machine Income".</t>
  </si>
  <si>
    <t>Education Contribution:</t>
  </si>
  <si>
    <t>The portion of Net Win allocated to the State Education Fund for direct aid to education.</t>
  </si>
  <si>
    <t>Marketing Allowance:</t>
  </si>
  <si>
    <t>Distribution of Net Win per Legislation</t>
  </si>
  <si>
    <t xml:space="preserve"> </t>
  </si>
  <si>
    <t>All net win</t>
  </si>
  <si>
    <t>Source:  New York Lottery</t>
  </si>
  <si>
    <t>Fiscal Year 2005/06</t>
  </si>
  <si>
    <t>4/1/05 - 4/12/05:</t>
  </si>
  <si>
    <t>Effective 4/13/05, per amended legislation:</t>
  </si>
  <si>
    <t>First $50 million net win annually</t>
  </si>
  <si>
    <t>$50 - $100 million net win</t>
  </si>
  <si>
    <t>$100 - $150 million net win</t>
  </si>
  <si>
    <t>Over $150 million net win</t>
  </si>
  <si>
    <t>Fiscal Year 2006/07</t>
  </si>
  <si>
    <t>Fiscal Year 2007/08</t>
  </si>
  <si>
    <t>Aid to Municipalities with Video Lottery Gaming Facilities Program</t>
  </si>
  <si>
    <t>Village of Monticello</t>
  </si>
  <si>
    <t>Town of Thompson</t>
  </si>
  <si>
    <t>Sullivan County</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</si>
  <si>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2007 host municipalities of the Monticello Gaming &amp; Raceway facility received the following aid payments: </t>
  </si>
  <si>
    <t>Fiscal Year 2008/2009</t>
  </si>
  <si>
    <t>The net revenues remaining after payout of prizes to players. (Credits Played less Credits Won)  Net win is commonly referred to as "Hold"</t>
  </si>
  <si>
    <t>or "Net Machine Income".</t>
  </si>
  <si>
    <t>First $100 million net win annually</t>
  </si>
  <si>
    <t>Over $100 million net win</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</si>
  <si>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2008 host municipalities of the Monticello Gaming &amp; Raceway facility received the following aid payments: </t>
  </si>
  <si>
    <t>Monticello Casino &amp; Raceway</t>
  </si>
  <si>
    <t>Fiscal Year 2009/2010</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</si>
  <si>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2009 host municipalities of the Monticello Gaming &amp; Raceway facility received the following aid payments: </t>
  </si>
  <si>
    <t>The amount of promotional free play included in Credits Played that is subsidized by the State through a reduction to Net Win.</t>
  </si>
  <si>
    <t>The net revenues remaining after payout of prizes to players. (Credits Played less Credits Won)  Net win is commonly</t>
  </si>
  <si>
    <t>referred to as "Hold" or "Net Machine Income".</t>
  </si>
  <si>
    <t>Free Play</t>
  </si>
  <si>
    <t>Fiscal Year 2010/2011</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</si>
  <si>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2010 host municipalities of the Monticello Gaming &amp; Raceway facility received the following aid payments: </t>
  </si>
  <si>
    <t xml:space="preserve">                Note: The percentages above reflect revised legislation that went into effect August 11, 2010. This legislation lowered Racetrack Commissions</t>
  </si>
  <si>
    <t xml:space="preserve">                and increased Education Contribution by 1%.</t>
  </si>
  <si>
    <t>Fiscal Year 2011/2012</t>
  </si>
  <si>
    <t>Agent Commission:</t>
  </si>
  <si>
    <t>The portion of Net Win paid to the casino operator as compensation for operating the gaming facility. Most operating expenses</t>
  </si>
  <si>
    <t xml:space="preserve">The portion of the Net Win paid to the casino operator to finance the costs of advertising, marketing and promoting </t>
  </si>
  <si>
    <t>video lottery play at the casino.</t>
  </si>
  <si>
    <t>Gaming Floor &amp; Admin</t>
  </si>
  <si>
    <t xml:space="preserve">The portion of Net Win used to reimburse gaming floor vendors (central system and game machine providers) and </t>
  </si>
  <si>
    <t>administer the Video Gaming Program (sometimes labeled "Lottery Administration").</t>
  </si>
  <si>
    <t>Agent</t>
  </si>
  <si>
    <t>Gaming Floor</t>
  </si>
  <si>
    <t>&amp; Admin</t>
  </si>
  <si>
    <t xml:space="preserve">of the gaming facility are paid from the agent commission (including the horse racing subsidies), with the exception of the </t>
  </si>
  <si>
    <t xml:space="preserve">gaming floor itself, which is provided by the other vendors and paid for by the Lottery. </t>
  </si>
  <si>
    <t>Gaming Floor &amp; Admin:</t>
  </si>
  <si>
    <t>Agent Commission</t>
  </si>
  <si>
    <t>Operator</t>
  </si>
  <si>
    <t>Purses</t>
  </si>
  <si>
    <t>Breeders</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</si>
  <si>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2011 host municipalities of the Monticello Casino &amp; Raceway facility received the following aid payments: </t>
  </si>
  <si>
    <t>Fiscal Year 2012/2013</t>
  </si>
  <si>
    <t>The amount of onscreen credits wagered on a video gaming machine (VGM).  This amount includes Credits Played resulting</t>
  </si>
  <si>
    <t>from; (a) cash and vouchers inserted into a VGM, and (b) any Credits Won used to make a wager on a VGM.</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</si>
  <si>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2012 host municipalities of the Monticello Casino &amp; Raceway facility received the following aid payments: </t>
  </si>
  <si>
    <t>Free Play Allowance:</t>
  </si>
  <si>
    <t>Source:  New York State Gaming Commission</t>
  </si>
  <si>
    <t>www.monticellocasinoandraceway.com</t>
  </si>
  <si>
    <t>Fiscal Year 2013/2014</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</si>
  <si>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2013-2014 host municipalities of the Monticello Casino &amp; Raceway facility were scheduled to receive the following aid payments: </t>
  </si>
  <si>
    <t>The amount of onscreen credits won on a VGM (prize payout).  Also includes any progressive jackpot liability due to players.</t>
  </si>
  <si>
    <t>Fiscal Year 2014/2015</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</si>
  <si>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2014-2015 host municipalities of the Monticello Casino &amp; Raceway facility were scheduled to receive the following aid payments: </t>
  </si>
  <si>
    <t>Fiscal Year 2015/2016</t>
  </si>
  <si>
    <t>Fiscal Year 2016/2017</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</si>
  <si>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2016-2017 host municipalities of the Monticello Casino &amp; Raceway facility were scheduled to receive the following aid payments: </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</si>
  <si>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2015-2016 host municipalities of the Monticello Casino &amp; Raceway facility were scheduled to receive the following aid payments: </t>
  </si>
  <si>
    <t>Fiscal Year 2017/2018</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</si>
  <si>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2017-2018 host municipalities of the Monticello Casino &amp; Raceway facility were scheduled to receive the following aid payments: </t>
  </si>
  <si>
    <t>Fiscal Year 2018/2019</t>
  </si>
  <si>
    <t>Additional Commission:</t>
  </si>
  <si>
    <t>Agent Commission does not reflect "additional commission" paid to Monticello pursuant to clauses G and G-2 subparagraph (ii)</t>
  </si>
  <si>
    <t xml:space="preserve">of paragraph 1 of subdivision b of section 1612 of the tax law. Monticello did not receive additional commission for FY 17-18.  </t>
  </si>
  <si>
    <t>of paragraph 1 of subdivision b of section 1612 of the tax law.</t>
  </si>
  <si>
    <t>Fiscal Year 2019/2020</t>
  </si>
  <si>
    <t xml:space="preserve">of paragraph 1 of subdivision b of section 1612 of the tax law. Additional commissions paid to Monticello for FY-19 were $645,643. </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</si>
  <si>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2019-2020 host municipalities of the Monticello Casino &amp; Raceway facility were scheduled to receive the following aid payments: </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</si>
  <si>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2018-2019 host municipalities of the Monticello Casino &amp; Raceway facility were scheduled to receive the following aid payments: </t>
  </si>
  <si>
    <r>
      <t>Effective April 12</t>
    </r>
    <r>
      <rPr>
        <vertAlign val="superscript"/>
        <sz val="10"/>
        <rFont val="Arial"/>
        <family val="2"/>
      </rPr>
      <t>th</t>
    </r>
    <r>
      <rPr>
        <sz val="10"/>
        <rFont val="Arial"/>
        <family val="2"/>
      </rPr>
      <t xml:space="preserve">, Chapter 59 of the Laws of 2019 repealed and replaced the existing marketing and capital award programs. </t>
    </r>
  </si>
  <si>
    <t>Pursuant to the new provisions, agent commission rates are inclusive of marketing and capital award funds. Agents shall</t>
  </si>
  <si>
    <t>dedicate 4% of net win, subject to a $2.5 million annual cap, to capital award projects.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</si>
</sst>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quot;$&quot;#,##0.0_);[Red]\(&quot;$&quot;#,##0.0\)"/>
    <numFmt numFmtId="167" formatCode="[$-409]h:mm:ss\ AM/PM"/>
    <numFmt numFmtId="168" formatCode="0.00%;[Red]\(0.00%\)"/>
    <numFmt numFmtId="169" formatCode="m/d/yy;@"/>
    <numFmt numFmtId="170" formatCode="[Red]0.00%\)\(0.00%\)"/>
    <numFmt numFmtId="171" formatCode="0.00%_);[Red]\(0.00%\)"/>
    <numFmt numFmtId="172" formatCode="&quot;Yes&quot;;&quot;Yes&quot;;&quot;No&quot;"/>
    <numFmt numFmtId="173" formatCode="&quot;True&quot;;&quot;True&quot;;&quot;False&quot;"/>
    <numFmt numFmtId="174" formatCode="&quot;On&quot;;&quot;On&quot;;&quot;Off&quot;"/>
    <numFmt numFmtId="175" formatCode="[$€-2]\ #,##0.00_);[Red]\([$€-2]\ #,##0.00\)"/>
  </numFmts>
  <fonts count="50">
    <font>
      <sz val="10"/>
      <name val="Arial"/>
      <family val="0"/>
    </font>
    <font>
      <sz val="10"/>
      <color indexed="8"/>
      <name val="Arial"/>
      <family val="2"/>
    </font>
    <font>
      <u val="single"/>
      <sz val="10"/>
      <color indexed="36"/>
      <name val="Arial"/>
      <family val="2"/>
    </font>
    <font>
      <u val="single"/>
      <sz val="10"/>
      <color indexed="12"/>
      <name val="Arial"/>
      <family val="2"/>
    </font>
    <font>
      <sz val="8"/>
      <name val="Arial"/>
      <family val="2"/>
    </font>
    <font>
      <b/>
      <sz val="14"/>
      <name val="Arial"/>
      <family val="2"/>
    </font>
    <font>
      <sz val="12"/>
      <name val="Arial"/>
      <family val="2"/>
    </font>
    <font>
      <u val="single"/>
      <sz val="11"/>
      <color indexed="12"/>
      <name val="Arial"/>
      <family val="2"/>
    </font>
    <font>
      <sz val="11"/>
      <name val="Arial"/>
      <family val="2"/>
    </font>
    <font>
      <b/>
      <sz val="10"/>
      <name val="Arial"/>
      <family val="2"/>
    </font>
    <font>
      <b/>
      <sz val="9"/>
      <name val="Arial"/>
      <family val="2"/>
    </font>
    <font>
      <sz val="9"/>
      <name val="Arial"/>
      <family val="2"/>
    </font>
    <font>
      <b/>
      <vertAlign val="superscript"/>
      <sz val="9"/>
      <name val="Arial"/>
      <family val="2"/>
    </font>
    <font>
      <b/>
      <i/>
      <u val="single"/>
      <sz val="10"/>
      <name val="Arial"/>
      <family val="2"/>
    </font>
    <font>
      <u val="single"/>
      <sz val="12"/>
      <color indexed="12"/>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vertical="top"/>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1" fillId="0" borderId="0">
      <alignment vertical="top"/>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4">
    <xf numFmtId="0" fontId="0" fillId="0" borderId="0" xfId="0" applyAlignment="1">
      <alignment/>
    </xf>
    <xf numFmtId="0" fontId="0" fillId="0" borderId="0" xfId="0" applyAlignment="1">
      <alignment horizontal="center"/>
    </xf>
    <xf numFmtId="6" fontId="8" fillId="0" borderId="0" xfId="0" applyNumberFormat="1" applyFont="1" applyAlignment="1">
      <alignment horizontal="center"/>
    </xf>
    <xf numFmtId="165" fontId="0" fillId="0" borderId="0" xfId="0" applyNumberFormat="1" applyAlignment="1">
      <alignment horizontal="center"/>
    </xf>
    <xf numFmtId="6" fontId="0" fillId="0" borderId="0" xfId="0" applyNumberFormat="1" applyAlignment="1">
      <alignment horizontal="left"/>
    </xf>
    <xf numFmtId="6" fontId="0" fillId="0" borderId="0" xfId="0" applyNumberFormat="1" applyAlignment="1">
      <alignment horizontal="center"/>
    </xf>
    <xf numFmtId="38" fontId="0" fillId="0" borderId="0" xfId="0" applyNumberFormat="1" applyAlignment="1">
      <alignment horizontal="center"/>
    </xf>
    <xf numFmtId="0" fontId="0" fillId="0" borderId="0" xfId="0" applyFont="1" applyAlignment="1">
      <alignment horizontal="center"/>
    </xf>
    <xf numFmtId="6" fontId="10" fillId="0" borderId="10" xfId="0" applyNumberFormat="1" applyFont="1" applyBorder="1" applyAlignment="1">
      <alignment horizontal="center"/>
    </xf>
    <xf numFmtId="165" fontId="10" fillId="0" borderId="0" xfId="0" applyNumberFormat="1" applyFont="1" applyAlignment="1">
      <alignment horizontal="center"/>
    </xf>
    <xf numFmtId="6" fontId="10" fillId="0" borderId="0" xfId="0" applyNumberFormat="1" applyFont="1" applyAlignment="1">
      <alignment horizontal="center"/>
    </xf>
    <xf numFmtId="38" fontId="10" fillId="0" borderId="0" xfId="0" applyNumberFormat="1" applyFont="1" applyAlignment="1">
      <alignment horizontal="center"/>
    </xf>
    <xf numFmtId="0" fontId="10" fillId="0" borderId="0" xfId="0" applyFont="1" applyAlignment="1">
      <alignment horizontal="center"/>
    </xf>
    <xf numFmtId="165" fontId="10" fillId="0" borderId="10" xfId="0" applyNumberFormat="1" applyFont="1" applyBorder="1" applyAlignment="1">
      <alignment horizontal="center"/>
    </xf>
    <xf numFmtId="38" fontId="10" fillId="0" borderId="10" xfId="0" applyNumberFormat="1" applyFont="1" applyBorder="1" applyAlignment="1">
      <alignment horizontal="center"/>
    </xf>
    <xf numFmtId="6" fontId="10" fillId="0" borderId="0" xfId="0" applyNumberFormat="1" applyFont="1" applyBorder="1" applyAlignment="1">
      <alignment horizontal="center"/>
    </xf>
    <xf numFmtId="6" fontId="0" fillId="0" borderId="0" xfId="0" applyNumberFormat="1" applyAlignment="1">
      <alignment/>
    </xf>
    <xf numFmtId="38" fontId="0" fillId="0" borderId="0" xfId="0" applyNumberFormat="1" applyAlignment="1">
      <alignment/>
    </xf>
    <xf numFmtId="6" fontId="0" fillId="0" borderId="11" xfId="0" applyNumberFormat="1" applyBorder="1" applyAlignment="1">
      <alignment/>
    </xf>
    <xf numFmtId="6" fontId="0" fillId="0" borderId="0" xfId="0" applyNumberFormat="1" applyBorder="1" applyAlignment="1">
      <alignment/>
    </xf>
    <xf numFmtId="171" fontId="0" fillId="0" borderId="0" xfId="0" applyNumberFormat="1" applyAlignment="1">
      <alignment horizontal="center"/>
    </xf>
    <xf numFmtId="171" fontId="0" fillId="0" borderId="0" xfId="0" applyNumberFormat="1" applyBorder="1" applyAlignment="1">
      <alignment/>
    </xf>
    <xf numFmtId="171" fontId="0" fillId="0" borderId="0" xfId="0" applyNumberFormat="1" applyAlignment="1">
      <alignment/>
    </xf>
    <xf numFmtId="0" fontId="0" fillId="0" borderId="0" xfId="0" applyFont="1" applyAlignment="1">
      <alignment/>
    </xf>
    <xf numFmtId="165" fontId="0" fillId="0" borderId="0" xfId="0" applyNumberFormat="1" applyAlignment="1">
      <alignment horizontal="left"/>
    </xf>
    <xf numFmtId="165" fontId="9" fillId="0" borderId="0" xfId="0" applyNumberFormat="1" applyFont="1" applyAlignment="1">
      <alignment horizontal="left"/>
    </xf>
    <xf numFmtId="6" fontId="0" fillId="0" borderId="0" xfId="0" applyNumberFormat="1" applyFont="1" applyAlignment="1">
      <alignment/>
    </xf>
    <xf numFmtId="38" fontId="0" fillId="0" borderId="0" xfId="0" applyNumberFormat="1" applyFont="1" applyAlignment="1">
      <alignment/>
    </xf>
    <xf numFmtId="165" fontId="11" fillId="0" borderId="0" xfId="0" applyNumberFormat="1" applyFont="1" applyAlignment="1">
      <alignment horizontal="left"/>
    </xf>
    <xf numFmtId="6" fontId="11" fillId="0" borderId="0" xfId="0" applyNumberFormat="1" applyFont="1" applyAlignment="1">
      <alignment/>
    </xf>
    <xf numFmtId="38" fontId="11" fillId="0" borderId="0" xfId="0" applyNumberFormat="1" applyFont="1" applyAlignment="1">
      <alignment/>
    </xf>
    <xf numFmtId="0" fontId="12" fillId="0" borderId="0" xfId="0" applyFont="1" applyAlignment="1">
      <alignment/>
    </xf>
    <xf numFmtId="6" fontId="9" fillId="0" borderId="0" xfId="0" applyNumberFormat="1" applyFont="1" applyAlignment="1">
      <alignment/>
    </xf>
    <xf numFmtId="6" fontId="11" fillId="0" borderId="0" xfId="0" applyNumberFormat="1" applyFont="1" applyBorder="1" applyAlignment="1">
      <alignment horizontal="center"/>
    </xf>
    <xf numFmtId="0" fontId="11" fillId="0" borderId="0" xfId="0" applyFont="1" applyAlignment="1">
      <alignment/>
    </xf>
    <xf numFmtId="6" fontId="9" fillId="0" borderId="10" xfId="0" applyNumberFormat="1" applyFont="1" applyBorder="1" applyAlignment="1">
      <alignment/>
    </xf>
    <xf numFmtId="6" fontId="9" fillId="0" borderId="0" xfId="0" applyNumberFormat="1" applyFont="1" applyBorder="1" applyAlignment="1">
      <alignment/>
    </xf>
    <xf numFmtId="9" fontId="11" fillId="0" borderId="0" xfId="0" applyNumberFormat="1" applyFont="1" applyBorder="1" applyAlignment="1">
      <alignment horizontal="center"/>
    </xf>
    <xf numFmtId="0" fontId="0" fillId="0" borderId="0" xfId="0" applyFont="1" applyAlignment="1">
      <alignment horizontal="left" vertical="top"/>
    </xf>
    <xf numFmtId="9" fontId="0" fillId="0" borderId="0" xfId="0" applyNumberFormat="1" applyFont="1" applyAlignment="1">
      <alignment horizontal="center"/>
    </xf>
    <xf numFmtId="6" fontId="13" fillId="0" borderId="0" xfId="0" applyNumberFormat="1" applyFont="1" applyAlignment="1">
      <alignment/>
    </xf>
    <xf numFmtId="165" fontId="9" fillId="0" borderId="0" xfId="61" applyNumberFormat="1" applyFont="1" applyAlignment="1">
      <alignment horizontal="left"/>
      <protection/>
    </xf>
    <xf numFmtId="6" fontId="0" fillId="0" borderId="0" xfId="61" applyNumberFormat="1" applyFont="1">
      <alignment vertical="top"/>
      <protection/>
    </xf>
    <xf numFmtId="6" fontId="0" fillId="0" borderId="0" xfId="61" applyNumberFormat="1" applyFont="1" applyAlignment="1">
      <alignment/>
      <protection/>
    </xf>
    <xf numFmtId="6" fontId="0" fillId="0" borderId="0" xfId="61" applyNumberFormat="1" applyFont="1" applyAlignment="1">
      <alignment wrapText="1"/>
      <protection/>
    </xf>
    <xf numFmtId="0" fontId="1" fillId="0" borderId="0" xfId="61">
      <alignment vertical="top"/>
      <protection/>
    </xf>
    <xf numFmtId="6" fontId="1" fillId="0" borderId="0" xfId="61" applyNumberFormat="1">
      <alignment vertical="top"/>
      <protection/>
    </xf>
    <xf numFmtId="38" fontId="0" fillId="0" borderId="0" xfId="61" applyNumberFormat="1" applyFont="1">
      <alignment vertical="top"/>
      <protection/>
    </xf>
    <xf numFmtId="165" fontId="0" fillId="0" borderId="0" xfId="61" applyNumberFormat="1" applyFont="1" applyAlignment="1">
      <alignment horizontal="left"/>
      <protection/>
    </xf>
    <xf numFmtId="165" fontId="11" fillId="0" borderId="0" xfId="61" applyNumberFormat="1" applyFont="1" applyAlignment="1">
      <alignment horizontal="left"/>
      <protection/>
    </xf>
    <xf numFmtId="6" fontId="11" fillId="0" borderId="0" xfId="61" applyNumberFormat="1" applyFont="1">
      <alignment vertical="top"/>
      <protection/>
    </xf>
    <xf numFmtId="38" fontId="11" fillId="0" borderId="0" xfId="61" applyNumberFormat="1" applyFont="1">
      <alignment vertical="top"/>
      <protection/>
    </xf>
    <xf numFmtId="165" fontId="0" fillId="0" borderId="0" xfId="0" applyNumberFormat="1" applyAlignment="1">
      <alignment/>
    </xf>
    <xf numFmtId="6" fontId="10" fillId="0" borderId="0" xfId="61" applyNumberFormat="1" applyFont="1" applyAlignment="1">
      <alignment horizontal="center"/>
      <protection/>
    </xf>
    <xf numFmtId="6" fontId="10" fillId="0" borderId="10" xfId="61" applyNumberFormat="1" applyFont="1" applyBorder="1" applyAlignment="1">
      <alignment horizontal="center"/>
      <protection/>
    </xf>
    <xf numFmtId="6" fontId="10" fillId="0" borderId="10" xfId="0" applyNumberFormat="1" applyFont="1" applyBorder="1" applyAlignment="1">
      <alignment horizontal="right"/>
    </xf>
    <xf numFmtId="10" fontId="0" fillId="0" borderId="0" xfId="0" applyNumberFormat="1" applyFont="1" applyAlignment="1">
      <alignment horizontal="center"/>
    </xf>
    <xf numFmtId="10" fontId="0" fillId="0" borderId="0" xfId="0" applyNumberFormat="1" applyFont="1" applyAlignment="1">
      <alignment horizontal="right"/>
    </xf>
    <xf numFmtId="10" fontId="0" fillId="0" borderId="0" xfId="0" applyNumberFormat="1" applyFont="1" applyAlignment="1">
      <alignment/>
    </xf>
    <xf numFmtId="165" fontId="0" fillId="0" borderId="0" xfId="0" applyNumberFormat="1" applyFont="1" applyAlignment="1">
      <alignment horizontal="left"/>
    </xf>
    <xf numFmtId="165" fontId="9" fillId="0" borderId="0" xfId="0" applyNumberFormat="1" applyFont="1" applyAlignment="1">
      <alignment horizontal="center"/>
    </xf>
    <xf numFmtId="6" fontId="9" fillId="0" borderId="11" xfId="0" applyNumberFormat="1" applyFont="1" applyBorder="1" applyAlignment="1">
      <alignment/>
    </xf>
    <xf numFmtId="38" fontId="9" fillId="0" borderId="11" xfId="0" applyNumberFormat="1" applyFont="1" applyBorder="1" applyAlignment="1">
      <alignment/>
    </xf>
    <xf numFmtId="0" fontId="0" fillId="0" borderId="0" xfId="57" applyAlignment="1">
      <alignment/>
      <protection/>
    </xf>
    <xf numFmtId="6" fontId="0" fillId="0" borderId="0" xfId="57" applyNumberFormat="1" applyAlignment="1">
      <alignment/>
      <protection/>
    </xf>
    <xf numFmtId="38" fontId="0" fillId="0" borderId="0" xfId="57" applyNumberFormat="1" applyAlignment="1">
      <alignment/>
      <protection/>
    </xf>
    <xf numFmtId="165" fontId="0" fillId="0" borderId="0" xfId="57" applyNumberFormat="1" applyAlignment="1">
      <alignment horizontal="center"/>
      <protection/>
    </xf>
    <xf numFmtId="165" fontId="0" fillId="0" borderId="0" xfId="57" applyNumberFormat="1" applyFont="1" applyAlignment="1">
      <alignment horizontal="left"/>
      <protection/>
    </xf>
    <xf numFmtId="165" fontId="0" fillId="0" borderId="0" xfId="57" applyNumberFormat="1" applyAlignment="1">
      <alignment horizontal="left"/>
      <protection/>
    </xf>
    <xf numFmtId="0" fontId="0" fillId="0" borderId="0" xfId="57" applyFont="1" applyAlignment="1">
      <alignment/>
      <protection/>
    </xf>
    <xf numFmtId="9" fontId="0" fillId="0" borderId="0" xfId="57" applyNumberFormat="1" applyFont="1" applyAlignment="1">
      <alignment horizontal="center"/>
      <protection/>
    </xf>
    <xf numFmtId="6" fontId="0" fillId="0" borderId="0" xfId="57" applyNumberFormat="1" applyFont="1" applyAlignment="1">
      <alignment/>
      <protection/>
    </xf>
    <xf numFmtId="38" fontId="0" fillId="0" borderId="0" xfId="57" applyNumberFormat="1" applyFont="1" applyAlignment="1">
      <alignment/>
      <protection/>
    </xf>
    <xf numFmtId="0" fontId="0" fillId="0" borderId="0" xfId="57" applyFont="1" applyAlignment="1">
      <alignment horizontal="left" vertical="top"/>
      <protection/>
    </xf>
    <xf numFmtId="10" fontId="0" fillId="0" borderId="0" xfId="57" applyNumberFormat="1" applyFont="1" applyAlignment="1">
      <alignment horizontal="center"/>
      <protection/>
    </xf>
    <xf numFmtId="10" fontId="0" fillId="0" borderId="0" xfId="57" applyNumberFormat="1" applyFont="1" applyAlignment="1">
      <alignment/>
      <protection/>
    </xf>
    <xf numFmtId="10" fontId="0" fillId="0" borderId="0" xfId="57" applyNumberFormat="1" applyFont="1" applyAlignment="1">
      <alignment horizontal="right"/>
      <protection/>
    </xf>
    <xf numFmtId="6" fontId="10" fillId="0" borderId="0" xfId="57" applyNumberFormat="1" applyFont="1" applyBorder="1" applyAlignment="1">
      <alignment horizontal="center"/>
      <protection/>
    </xf>
    <xf numFmtId="6" fontId="10" fillId="0" borderId="10" xfId="57" applyNumberFormat="1" applyFont="1" applyBorder="1" applyAlignment="1">
      <alignment horizontal="center"/>
      <protection/>
    </xf>
    <xf numFmtId="6" fontId="9" fillId="0" borderId="10" xfId="57" applyNumberFormat="1" applyFont="1" applyBorder="1" applyAlignment="1">
      <alignment/>
      <protection/>
    </xf>
    <xf numFmtId="6" fontId="10" fillId="0" borderId="10" xfId="57" applyNumberFormat="1" applyFont="1" applyBorder="1" applyAlignment="1">
      <alignment horizontal="right"/>
      <protection/>
    </xf>
    <xf numFmtId="0" fontId="11" fillId="0" borderId="0" xfId="57" applyFont="1" applyAlignment="1">
      <alignment/>
      <protection/>
    </xf>
    <xf numFmtId="6" fontId="10" fillId="0" borderId="0" xfId="57" applyNumberFormat="1" applyFont="1" applyAlignment="1">
      <alignment horizontal="center"/>
      <protection/>
    </xf>
    <xf numFmtId="0" fontId="12" fillId="0" borderId="0" xfId="57" applyFont="1" applyAlignment="1">
      <alignment/>
      <protection/>
    </xf>
    <xf numFmtId="6" fontId="11" fillId="0" borderId="0" xfId="57" applyNumberFormat="1" applyFont="1" applyAlignment="1">
      <alignment/>
      <protection/>
    </xf>
    <xf numFmtId="38" fontId="11" fillId="0" borderId="0" xfId="57" applyNumberFormat="1" applyFont="1" applyAlignment="1">
      <alignment/>
      <protection/>
    </xf>
    <xf numFmtId="165" fontId="11" fillId="0" borderId="0" xfId="57" applyNumberFormat="1" applyFont="1" applyAlignment="1">
      <alignment horizontal="left"/>
      <protection/>
    </xf>
    <xf numFmtId="165" fontId="9" fillId="0" borderId="0" xfId="57" applyNumberFormat="1" applyFont="1" applyAlignment="1">
      <alignment horizontal="left"/>
      <protection/>
    </xf>
    <xf numFmtId="171" fontId="0" fillId="0" borderId="0" xfId="57" applyNumberFormat="1" applyAlignment="1">
      <alignment/>
      <protection/>
    </xf>
    <xf numFmtId="171" fontId="0" fillId="0" borderId="0" xfId="57" applyNumberFormat="1" applyBorder="1" applyAlignment="1">
      <alignment/>
      <protection/>
    </xf>
    <xf numFmtId="171" fontId="0" fillId="0" borderId="0" xfId="57" applyNumberFormat="1" applyAlignment="1">
      <alignment horizontal="center"/>
      <protection/>
    </xf>
    <xf numFmtId="6" fontId="0" fillId="0" borderId="0" xfId="57" applyNumberFormat="1" applyBorder="1" applyAlignment="1">
      <alignment/>
      <protection/>
    </xf>
    <xf numFmtId="6" fontId="9" fillId="0" borderId="11" xfId="57" applyNumberFormat="1" applyFont="1" applyBorder="1" applyAlignment="1">
      <alignment/>
      <protection/>
    </xf>
    <xf numFmtId="6" fontId="9" fillId="0" borderId="0" xfId="57" applyNumberFormat="1" applyFont="1" applyAlignment="1">
      <alignment/>
      <protection/>
    </xf>
    <xf numFmtId="38" fontId="9" fillId="0" borderId="11" xfId="57" applyNumberFormat="1" applyFont="1" applyBorder="1" applyAlignment="1">
      <alignment/>
      <protection/>
    </xf>
    <xf numFmtId="165" fontId="9" fillId="0" borderId="0" xfId="57" applyNumberFormat="1" applyFont="1" applyAlignment="1">
      <alignment horizontal="center"/>
      <protection/>
    </xf>
    <xf numFmtId="0" fontId="10" fillId="0" borderId="0" xfId="57" applyFont="1" applyAlignment="1">
      <alignment horizontal="center"/>
      <protection/>
    </xf>
    <xf numFmtId="38" fontId="10" fillId="0" borderId="10" xfId="57" applyNumberFormat="1" applyFont="1" applyBorder="1" applyAlignment="1">
      <alignment horizontal="center"/>
      <protection/>
    </xf>
    <xf numFmtId="165" fontId="10" fillId="0" borderId="10" xfId="57" applyNumberFormat="1" applyFont="1" applyBorder="1" applyAlignment="1">
      <alignment horizontal="center"/>
      <protection/>
    </xf>
    <xf numFmtId="38" fontId="10" fillId="0" borderId="0" xfId="57" applyNumberFormat="1" applyFont="1" applyAlignment="1">
      <alignment horizontal="center"/>
      <protection/>
    </xf>
    <xf numFmtId="165" fontId="10" fillId="0" borderId="0" xfId="57" applyNumberFormat="1" applyFont="1" applyAlignment="1">
      <alignment horizontal="center"/>
      <protection/>
    </xf>
    <xf numFmtId="0" fontId="0" fillId="0" borderId="0" xfId="57" applyAlignment="1">
      <alignment horizontal="center"/>
      <protection/>
    </xf>
    <xf numFmtId="6" fontId="0" fillId="0" borderId="0" xfId="57" applyNumberFormat="1" applyAlignment="1">
      <alignment horizontal="center"/>
      <protection/>
    </xf>
    <xf numFmtId="38" fontId="0" fillId="0" borderId="0" xfId="57" applyNumberFormat="1" applyAlignment="1">
      <alignment horizontal="center"/>
      <protection/>
    </xf>
    <xf numFmtId="6" fontId="0" fillId="0" borderId="0" xfId="57" applyNumberFormat="1" applyAlignment="1">
      <alignment horizontal="left"/>
      <protection/>
    </xf>
    <xf numFmtId="0" fontId="0" fillId="0" borderId="0" xfId="57" applyFont="1" applyAlignment="1">
      <alignment horizontal="center"/>
      <protection/>
    </xf>
    <xf numFmtId="6" fontId="8" fillId="0" borderId="0" xfId="57" applyNumberFormat="1" applyFont="1" applyAlignment="1">
      <alignment horizontal="center"/>
      <protection/>
    </xf>
    <xf numFmtId="0" fontId="0" fillId="0" borderId="0" xfId="0" applyFont="1" applyAlignment="1">
      <alignment horizontal="left"/>
    </xf>
    <xf numFmtId="165" fontId="0" fillId="0" borderId="0" xfId="0" applyNumberFormat="1" applyFont="1" applyAlignment="1">
      <alignment/>
    </xf>
    <xf numFmtId="6" fontId="1" fillId="0" borderId="0" xfId="61" applyNumberFormat="1" applyFont="1">
      <alignment vertical="top"/>
      <protection/>
    </xf>
    <xf numFmtId="6" fontId="5" fillId="0" borderId="0" xfId="57" applyNumberFormat="1" applyFont="1" applyAlignment="1">
      <alignment horizontal="center"/>
      <protection/>
    </xf>
    <xf numFmtId="6" fontId="6" fillId="0" borderId="0" xfId="57" applyNumberFormat="1" applyFont="1" applyAlignment="1">
      <alignment horizontal="center"/>
      <protection/>
    </xf>
    <xf numFmtId="6" fontId="14" fillId="0" borderId="0" xfId="53" applyNumberFormat="1" applyFont="1" applyAlignment="1" applyProtection="1">
      <alignment horizontal="center"/>
      <protection/>
    </xf>
    <xf numFmtId="6" fontId="8" fillId="0" borderId="0" xfId="57" applyNumberFormat="1" applyFont="1" applyAlignment="1">
      <alignment horizontal="center"/>
      <protection/>
    </xf>
    <xf numFmtId="165" fontId="9" fillId="33" borderId="12" xfId="57" applyNumberFormat="1" applyFont="1" applyFill="1" applyBorder="1" applyAlignment="1">
      <alignment horizontal="center"/>
      <protection/>
    </xf>
    <xf numFmtId="165" fontId="9" fillId="33" borderId="13" xfId="57" applyNumberFormat="1" applyFont="1" applyFill="1" applyBorder="1" applyAlignment="1">
      <alignment horizontal="center"/>
      <protection/>
    </xf>
    <xf numFmtId="165" fontId="9" fillId="33" borderId="14" xfId="57" applyNumberFormat="1" applyFont="1" applyFill="1" applyBorder="1" applyAlignment="1">
      <alignment horizontal="center"/>
      <protection/>
    </xf>
    <xf numFmtId="6" fontId="10" fillId="0" borderId="10" xfId="57" applyNumberFormat="1" applyFont="1" applyBorder="1" applyAlignment="1">
      <alignment horizontal="center"/>
      <protection/>
    </xf>
    <xf numFmtId="6" fontId="9" fillId="33" borderId="12" xfId="57" applyNumberFormat="1" applyFont="1" applyFill="1" applyBorder="1" applyAlignment="1">
      <alignment horizontal="center"/>
      <protection/>
    </xf>
    <xf numFmtId="6" fontId="9" fillId="33" borderId="13" xfId="57" applyNumberFormat="1" applyFont="1" applyFill="1" applyBorder="1" applyAlignment="1">
      <alignment horizontal="center"/>
      <protection/>
    </xf>
    <xf numFmtId="6" fontId="9" fillId="33" borderId="14" xfId="57" applyNumberFormat="1" applyFont="1" applyFill="1" applyBorder="1" applyAlignment="1">
      <alignment horizontal="center"/>
      <protection/>
    </xf>
    <xf numFmtId="0" fontId="0" fillId="0" borderId="0" xfId="61" applyNumberFormat="1" applyFont="1" applyAlignment="1">
      <alignment horizontal="left" wrapText="1"/>
      <protection/>
    </xf>
    <xf numFmtId="6" fontId="10" fillId="0" borderId="10" xfId="0" applyNumberFormat="1" applyFont="1" applyBorder="1" applyAlignment="1">
      <alignment horizontal="center"/>
    </xf>
    <xf numFmtId="165" fontId="9" fillId="33" borderId="12" xfId="0" applyNumberFormat="1" applyFont="1" applyFill="1" applyBorder="1" applyAlignment="1">
      <alignment horizontal="center"/>
    </xf>
    <xf numFmtId="165" fontId="9" fillId="33" borderId="13" xfId="0" applyNumberFormat="1" applyFont="1" applyFill="1" applyBorder="1" applyAlignment="1">
      <alignment horizontal="center"/>
    </xf>
    <xf numFmtId="165" fontId="9" fillId="33" borderId="14" xfId="0" applyNumberFormat="1" applyFont="1" applyFill="1" applyBorder="1" applyAlignment="1">
      <alignment horizontal="center"/>
    </xf>
    <xf numFmtId="6" fontId="9" fillId="33" borderId="12" xfId="0" applyNumberFormat="1" applyFont="1" applyFill="1" applyBorder="1" applyAlignment="1">
      <alignment horizontal="center"/>
    </xf>
    <xf numFmtId="6" fontId="9" fillId="33" borderId="13" xfId="0" applyNumberFormat="1" applyFont="1" applyFill="1" applyBorder="1" applyAlignment="1">
      <alignment horizontal="center"/>
    </xf>
    <xf numFmtId="6" fontId="9" fillId="33" borderId="14" xfId="0" applyNumberFormat="1" applyFont="1" applyFill="1" applyBorder="1" applyAlignment="1">
      <alignment horizontal="center"/>
    </xf>
    <xf numFmtId="0" fontId="0" fillId="0" borderId="0" xfId="61" applyNumberFormat="1" applyFont="1" applyAlignment="1">
      <alignment horizontal="left" wrapText="1"/>
      <protection/>
    </xf>
    <xf numFmtId="6" fontId="5" fillId="0" borderId="0" xfId="0" applyNumberFormat="1" applyFont="1" applyAlignment="1">
      <alignment horizontal="center"/>
    </xf>
    <xf numFmtId="6" fontId="6" fillId="0" borderId="0" xfId="0" applyNumberFormat="1" applyFont="1" applyAlignment="1">
      <alignment horizontal="center"/>
    </xf>
    <xf numFmtId="6" fontId="8" fillId="0" borderId="0" xfId="0" applyNumberFormat="1" applyFont="1" applyAlignment="1">
      <alignment horizontal="center"/>
    </xf>
    <xf numFmtId="6" fontId="7" fillId="0" borderId="0" xfId="53" applyNumberFormat="1" applyFont="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Style 1"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85725</xdr:rowOff>
    </xdr:from>
    <xdr:to>
      <xdr:col>2</xdr:col>
      <xdr:colOff>276225</xdr:colOff>
      <xdr:row>5</xdr:row>
      <xdr:rowOff>142875</xdr:rowOff>
    </xdr:to>
    <xdr:pic>
      <xdr:nvPicPr>
        <xdr:cNvPr id="1" name="Picture 1"/>
        <xdr:cNvPicPr preferRelativeResize="1">
          <a:picLocks noChangeAspect="1"/>
        </xdr:cNvPicPr>
      </xdr:nvPicPr>
      <xdr:blipFill>
        <a:blip r:embed="rId1"/>
        <a:stretch>
          <a:fillRect/>
        </a:stretch>
      </xdr:blipFill>
      <xdr:spPr>
        <a:xfrm>
          <a:off x="276225" y="85725"/>
          <a:ext cx="1562100" cy="1019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85725</xdr:rowOff>
    </xdr:from>
    <xdr:to>
      <xdr:col>2</xdr:col>
      <xdr:colOff>276225</xdr:colOff>
      <xdr:row>5</xdr:row>
      <xdr:rowOff>142875</xdr:rowOff>
    </xdr:to>
    <xdr:pic>
      <xdr:nvPicPr>
        <xdr:cNvPr id="1" name="Picture 1"/>
        <xdr:cNvPicPr preferRelativeResize="1">
          <a:picLocks noChangeAspect="1"/>
        </xdr:cNvPicPr>
      </xdr:nvPicPr>
      <xdr:blipFill>
        <a:blip r:embed="rId1"/>
        <a:stretch>
          <a:fillRect/>
        </a:stretch>
      </xdr:blipFill>
      <xdr:spPr>
        <a:xfrm>
          <a:off x="276225" y="85725"/>
          <a:ext cx="1562100" cy="1000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85725</xdr:rowOff>
    </xdr:from>
    <xdr:to>
      <xdr:col>2</xdr:col>
      <xdr:colOff>276225</xdr:colOff>
      <xdr:row>5</xdr:row>
      <xdr:rowOff>142875</xdr:rowOff>
    </xdr:to>
    <xdr:pic>
      <xdr:nvPicPr>
        <xdr:cNvPr id="1" name="Picture 2"/>
        <xdr:cNvPicPr preferRelativeResize="1">
          <a:picLocks noChangeAspect="1"/>
        </xdr:cNvPicPr>
      </xdr:nvPicPr>
      <xdr:blipFill>
        <a:blip r:embed="rId1"/>
        <a:stretch>
          <a:fillRect/>
        </a:stretch>
      </xdr:blipFill>
      <xdr:spPr>
        <a:xfrm>
          <a:off x="276225" y="85725"/>
          <a:ext cx="1562100" cy="1000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2</xdr:col>
      <xdr:colOff>238125</xdr:colOff>
      <xdr:row>6</xdr:row>
      <xdr:rowOff>9525</xdr:rowOff>
    </xdr:to>
    <xdr:pic>
      <xdr:nvPicPr>
        <xdr:cNvPr id="1" name="Picture 4"/>
        <xdr:cNvPicPr preferRelativeResize="1">
          <a:picLocks noChangeAspect="1"/>
        </xdr:cNvPicPr>
      </xdr:nvPicPr>
      <xdr:blipFill>
        <a:blip r:embed="rId1"/>
        <a:stretch>
          <a:fillRect/>
        </a:stretch>
      </xdr:blipFill>
      <xdr:spPr>
        <a:xfrm>
          <a:off x="238125" y="123825"/>
          <a:ext cx="1562100" cy="1000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95250</xdr:rowOff>
    </xdr:from>
    <xdr:to>
      <xdr:col>2</xdr:col>
      <xdr:colOff>190500</xdr:colOff>
      <xdr:row>5</xdr:row>
      <xdr:rowOff>114300</xdr:rowOff>
    </xdr:to>
    <xdr:pic>
      <xdr:nvPicPr>
        <xdr:cNvPr id="1" name="Picture 4"/>
        <xdr:cNvPicPr preferRelativeResize="1">
          <a:picLocks noChangeAspect="1"/>
        </xdr:cNvPicPr>
      </xdr:nvPicPr>
      <xdr:blipFill>
        <a:blip r:embed="rId1"/>
        <a:stretch>
          <a:fillRect/>
        </a:stretch>
      </xdr:blipFill>
      <xdr:spPr>
        <a:xfrm>
          <a:off x="266700" y="95250"/>
          <a:ext cx="1485900" cy="9620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28575</xdr:rowOff>
    </xdr:from>
    <xdr:to>
      <xdr:col>2</xdr:col>
      <xdr:colOff>247650</xdr:colOff>
      <xdr:row>5</xdr:row>
      <xdr:rowOff>57150</xdr:rowOff>
    </xdr:to>
    <xdr:pic>
      <xdr:nvPicPr>
        <xdr:cNvPr id="1" name="Picture 4"/>
        <xdr:cNvPicPr preferRelativeResize="1">
          <a:picLocks noChangeAspect="1"/>
        </xdr:cNvPicPr>
      </xdr:nvPicPr>
      <xdr:blipFill>
        <a:blip r:embed="rId1"/>
        <a:stretch>
          <a:fillRect/>
        </a:stretch>
      </xdr:blipFill>
      <xdr:spPr>
        <a:xfrm>
          <a:off x="295275" y="28575"/>
          <a:ext cx="1514475" cy="9715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47625</xdr:rowOff>
    </xdr:from>
    <xdr:to>
      <xdr:col>2</xdr:col>
      <xdr:colOff>190500</xdr:colOff>
      <xdr:row>5</xdr:row>
      <xdr:rowOff>114300</xdr:rowOff>
    </xdr:to>
    <xdr:pic>
      <xdr:nvPicPr>
        <xdr:cNvPr id="1" name="Picture 4"/>
        <xdr:cNvPicPr preferRelativeResize="1">
          <a:picLocks noChangeAspect="1"/>
        </xdr:cNvPicPr>
      </xdr:nvPicPr>
      <xdr:blipFill>
        <a:blip r:embed="rId1"/>
        <a:stretch>
          <a:fillRect/>
        </a:stretch>
      </xdr:blipFill>
      <xdr:spPr>
        <a:xfrm>
          <a:off x="190500" y="47625"/>
          <a:ext cx="1562100" cy="1009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57150</xdr:rowOff>
    </xdr:from>
    <xdr:to>
      <xdr:col>2</xdr:col>
      <xdr:colOff>228600</xdr:colOff>
      <xdr:row>5</xdr:row>
      <xdr:rowOff>123825</xdr:rowOff>
    </xdr:to>
    <xdr:pic>
      <xdr:nvPicPr>
        <xdr:cNvPr id="1" name="Picture 4"/>
        <xdr:cNvPicPr preferRelativeResize="1">
          <a:picLocks noChangeAspect="1"/>
        </xdr:cNvPicPr>
      </xdr:nvPicPr>
      <xdr:blipFill>
        <a:blip r:embed="rId1"/>
        <a:stretch>
          <a:fillRect/>
        </a:stretch>
      </xdr:blipFill>
      <xdr:spPr>
        <a:xfrm>
          <a:off x="228600" y="57150"/>
          <a:ext cx="1562100"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85725</xdr:rowOff>
    </xdr:from>
    <xdr:to>
      <xdr:col>2</xdr:col>
      <xdr:colOff>276225</xdr:colOff>
      <xdr:row>5</xdr:row>
      <xdr:rowOff>142875</xdr:rowOff>
    </xdr:to>
    <xdr:pic>
      <xdr:nvPicPr>
        <xdr:cNvPr id="1" name="Picture 1"/>
        <xdr:cNvPicPr preferRelativeResize="1">
          <a:picLocks noChangeAspect="1"/>
        </xdr:cNvPicPr>
      </xdr:nvPicPr>
      <xdr:blipFill>
        <a:blip r:embed="rId1"/>
        <a:stretch>
          <a:fillRect/>
        </a:stretch>
      </xdr:blipFill>
      <xdr:spPr>
        <a:xfrm>
          <a:off x="276225" y="85725"/>
          <a:ext cx="1562100" cy="101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85725</xdr:rowOff>
    </xdr:from>
    <xdr:to>
      <xdr:col>2</xdr:col>
      <xdr:colOff>276225</xdr:colOff>
      <xdr:row>5</xdr:row>
      <xdr:rowOff>142875</xdr:rowOff>
    </xdr:to>
    <xdr:pic>
      <xdr:nvPicPr>
        <xdr:cNvPr id="1" name="Picture 1"/>
        <xdr:cNvPicPr preferRelativeResize="1">
          <a:picLocks noChangeAspect="1"/>
        </xdr:cNvPicPr>
      </xdr:nvPicPr>
      <xdr:blipFill>
        <a:blip r:embed="rId1"/>
        <a:stretch>
          <a:fillRect/>
        </a:stretch>
      </xdr:blipFill>
      <xdr:spPr>
        <a:xfrm>
          <a:off x="276225" y="85725"/>
          <a:ext cx="1562100" cy="1019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85725</xdr:rowOff>
    </xdr:from>
    <xdr:to>
      <xdr:col>2</xdr:col>
      <xdr:colOff>276225</xdr:colOff>
      <xdr:row>5</xdr:row>
      <xdr:rowOff>142875</xdr:rowOff>
    </xdr:to>
    <xdr:pic>
      <xdr:nvPicPr>
        <xdr:cNvPr id="1" name="Picture 1"/>
        <xdr:cNvPicPr preferRelativeResize="1">
          <a:picLocks noChangeAspect="1"/>
        </xdr:cNvPicPr>
      </xdr:nvPicPr>
      <xdr:blipFill>
        <a:blip r:embed="rId1"/>
        <a:stretch>
          <a:fillRect/>
        </a:stretch>
      </xdr:blipFill>
      <xdr:spPr>
        <a:xfrm>
          <a:off x="276225" y="85725"/>
          <a:ext cx="15621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85725</xdr:rowOff>
    </xdr:from>
    <xdr:to>
      <xdr:col>2</xdr:col>
      <xdr:colOff>276225</xdr:colOff>
      <xdr:row>5</xdr:row>
      <xdr:rowOff>142875</xdr:rowOff>
    </xdr:to>
    <xdr:pic>
      <xdr:nvPicPr>
        <xdr:cNvPr id="1" name="Picture 1"/>
        <xdr:cNvPicPr preferRelativeResize="1">
          <a:picLocks noChangeAspect="1"/>
        </xdr:cNvPicPr>
      </xdr:nvPicPr>
      <xdr:blipFill>
        <a:blip r:embed="rId1"/>
        <a:stretch>
          <a:fillRect/>
        </a:stretch>
      </xdr:blipFill>
      <xdr:spPr>
        <a:xfrm>
          <a:off x="276225" y="85725"/>
          <a:ext cx="15621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85725</xdr:rowOff>
    </xdr:from>
    <xdr:to>
      <xdr:col>2</xdr:col>
      <xdr:colOff>276225</xdr:colOff>
      <xdr:row>5</xdr:row>
      <xdr:rowOff>142875</xdr:rowOff>
    </xdr:to>
    <xdr:pic>
      <xdr:nvPicPr>
        <xdr:cNvPr id="1" name="Picture 1"/>
        <xdr:cNvPicPr preferRelativeResize="1">
          <a:picLocks noChangeAspect="1"/>
        </xdr:cNvPicPr>
      </xdr:nvPicPr>
      <xdr:blipFill>
        <a:blip r:embed="rId1"/>
        <a:stretch>
          <a:fillRect/>
        </a:stretch>
      </xdr:blipFill>
      <xdr:spPr>
        <a:xfrm>
          <a:off x="276225" y="85725"/>
          <a:ext cx="15621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85725</xdr:rowOff>
    </xdr:from>
    <xdr:to>
      <xdr:col>2</xdr:col>
      <xdr:colOff>276225</xdr:colOff>
      <xdr:row>5</xdr:row>
      <xdr:rowOff>142875</xdr:rowOff>
    </xdr:to>
    <xdr:pic>
      <xdr:nvPicPr>
        <xdr:cNvPr id="1" name="Picture 1"/>
        <xdr:cNvPicPr preferRelativeResize="1">
          <a:picLocks noChangeAspect="1"/>
        </xdr:cNvPicPr>
      </xdr:nvPicPr>
      <xdr:blipFill>
        <a:blip r:embed="rId1"/>
        <a:stretch>
          <a:fillRect/>
        </a:stretch>
      </xdr:blipFill>
      <xdr:spPr>
        <a:xfrm>
          <a:off x="276225" y="85725"/>
          <a:ext cx="15621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85725</xdr:rowOff>
    </xdr:from>
    <xdr:to>
      <xdr:col>2</xdr:col>
      <xdr:colOff>276225</xdr:colOff>
      <xdr:row>5</xdr:row>
      <xdr:rowOff>142875</xdr:rowOff>
    </xdr:to>
    <xdr:pic>
      <xdr:nvPicPr>
        <xdr:cNvPr id="1" name="Picture 1"/>
        <xdr:cNvPicPr preferRelativeResize="1">
          <a:picLocks noChangeAspect="1"/>
        </xdr:cNvPicPr>
      </xdr:nvPicPr>
      <xdr:blipFill>
        <a:blip r:embed="rId1"/>
        <a:stretch>
          <a:fillRect/>
        </a:stretch>
      </xdr:blipFill>
      <xdr:spPr>
        <a:xfrm>
          <a:off x="276225" y="85725"/>
          <a:ext cx="15621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85725</xdr:rowOff>
    </xdr:from>
    <xdr:to>
      <xdr:col>2</xdr:col>
      <xdr:colOff>276225</xdr:colOff>
      <xdr:row>5</xdr:row>
      <xdr:rowOff>142875</xdr:rowOff>
    </xdr:to>
    <xdr:pic>
      <xdr:nvPicPr>
        <xdr:cNvPr id="1" name="Picture 1"/>
        <xdr:cNvPicPr preferRelativeResize="1">
          <a:picLocks noChangeAspect="1"/>
        </xdr:cNvPicPr>
      </xdr:nvPicPr>
      <xdr:blipFill>
        <a:blip r:embed="rId1"/>
        <a:stretch>
          <a:fillRect/>
        </a:stretch>
      </xdr:blipFill>
      <xdr:spPr>
        <a:xfrm>
          <a:off x="276225" y="85725"/>
          <a:ext cx="15621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nticellocasinoandracewa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monticellogamingandraceway.com/"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monticellogamingandraceway.com/"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monticellogamingandraceway.com/"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monticellogamingandraceway.com/"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monticellogamingandraceway.com/"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monticellogamingandraceway.com/"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monticellogamingandraceway.com/"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onticellocasinoandraceway.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onticellocasinoandraceway.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onticellocasinoandraceway.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monticellocasinoandraceway.com/"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monticellocasinoandraceway.com/"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monticellocasinoandraceway.com/"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onticellocasinoandraceway.com/"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monticellogamingandraceway.com/"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PageLayoutView="0" workbookViewId="0" topLeftCell="A1">
      <selection activeCell="B16" sqref="B16"/>
    </sheetView>
  </sheetViews>
  <sheetFormatPr defaultColWidth="9.140625" defaultRowHeight="12.75"/>
  <cols>
    <col min="1" max="1" width="9.28125" style="66" customWidth="1"/>
    <col min="2" max="2" width="14.140625" style="64" customWidth="1"/>
    <col min="3" max="3" width="11.7109375" style="64" customWidth="1"/>
    <col min="4" max="4" width="14.140625" style="64" customWidth="1"/>
    <col min="5" max="5" width="12.7109375" style="64" customWidth="1"/>
    <col min="6" max="6" width="10.57421875" style="65" customWidth="1"/>
    <col min="7" max="7" width="10.57421875" style="64" customWidth="1"/>
    <col min="8" max="8" width="2.7109375" style="64" customWidth="1"/>
    <col min="9" max="10" width="13.140625" style="64" customWidth="1"/>
    <col min="11" max="11" width="14.28125" style="64" customWidth="1"/>
    <col min="12" max="12" width="12.7109375" style="63" customWidth="1"/>
    <col min="13" max="16384" width="9.140625" style="63" customWidth="1"/>
  </cols>
  <sheetData>
    <row r="1" spans="1:11" ht="17.25">
      <c r="A1" s="110" t="s">
        <v>55</v>
      </c>
      <c r="B1" s="110"/>
      <c r="C1" s="110"/>
      <c r="D1" s="110"/>
      <c r="E1" s="110"/>
      <c r="F1" s="110"/>
      <c r="G1" s="110"/>
      <c r="H1" s="110"/>
      <c r="I1" s="110"/>
      <c r="J1" s="110"/>
      <c r="K1" s="110"/>
    </row>
    <row r="2" spans="1:11" ht="15">
      <c r="A2" s="111" t="s">
        <v>0</v>
      </c>
      <c r="B2" s="111"/>
      <c r="C2" s="111"/>
      <c r="D2" s="111"/>
      <c r="E2" s="111"/>
      <c r="F2" s="111"/>
      <c r="G2" s="111"/>
      <c r="H2" s="111"/>
      <c r="I2" s="111"/>
      <c r="J2" s="111"/>
      <c r="K2" s="111"/>
    </row>
    <row r="3" spans="1:11" s="101" customFormat="1" ht="15">
      <c r="A3" s="111" t="s">
        <v>1</v>
      </c>
      <c r="B3" s="111"/>
      <c r="C3" s="111"/>
      <c r="D3" s="111"/>
      <c r="E3" s="111"/>
      <c r="F3" s="111"/>
      <c r="G3" s="111"/>
      <c r="H3" s="111"/>
      <c r="I3" s="111"/>
      <c r="J3" s="111"/>
      <c r="K3" s="111"/>
    </row>
    <row r="4" spans="1:11" s="101" customFormat="1" ht="15">
      <c r="A4" s="112" t="s">
        <v>91</v>
      </c>
      <c r="B4" s="112"/>
      <c r="C4" s="112"/>
      <c r="D4" s="112"/>
      <c r="E4" s="112"/>
      <c r="F4" s="112"/>
      <c r="G4" s="112"/>
      <c r="H4" s="112"/>
      <c r="I4" s="112"/>
      <c r="J4" s="112"/>
      <c r="K4" s="112"/>
    </row>
    <row r="5" spans="1:11" s="101" customFormat="1" ht="13.5">
      <c r="A5" s="113" t="s">
        <v>3</v>
      </c>
      <c r="B5" s="113"/>
      <c r="C5" s="113"/>
      <c r="D5" s="113"/>
      <c r="E5" s="113"/>
      <c r="F5" s="113"/>
      <c r="G5" s="113"/>
      <c r="H5" s="113"/>
      <c r="I5" s="113"/>
      <c r="J5" s="113"/>
      <c r="K5" s="113"/>
    </row>
    <row r="6" spans="1:11" s="101" customFormat="1" ht="13.5">
      <c r="A6" s="106"/>
      <c r="B6" s="106"/>
      <c r="C6" s="106"/>
      <c r="D6" s="106"/>
      <c r="E6" s="106"/>
      <c r="F6" s="106"/>
      <c r="G6" s="106"/>
      <c r="H6" s="106"/>
      <c r="I6" s="106"/>
      <c r="J6" s="106"/>
      <c r="K6" s="106"/>
    </row>
    <row r="7" spans="1:11" s="101" customFormat="1" ht="12.75">
      <c r="A7" s="66"/>
      <c r="B7" s="104"/>
      <c r="C7" s="104"/>
      <c r="D7" s="104"/>
      <c r="E7" s="102"/>
      <c r="F7" s="103"/>
      <c r="G7" s="102"/>
      <c r="H7" s="102"/>
      <c r="I7" s="102"/>
      <c r="J7" s="102"/>
      <c r="K7" s="102"/>
    </row>
    <row r="8" spans="1:11" s="105" customFormat="1" ht="14.25" customHeight="1">
      <c r="A8" s="114" t="s">
        <v>108</v>
      </c>
      <c r="B8" s="115"/>
      <c r="C8" s="115"/>
      <c r="D8" s="115"/>
      <c r="E8" s="115"/>
      <c r="F8" s="115"/>
      <c r="G8" s="115"/>
      <c r="H8" s="115"/>
      <c r="I8" s="115"/>
      <c r="J8" s="115"/>
      <c r="K8" s="116"/>
    </row>
    <row r="9" spans="1:11" s="101" customFormat="1" ht="9" customHeight="1">
      <c r="A9" s="66"/>
      <c r="B9" s="104"/>
      <c r="C9" s="104"/>
      <c r="D9" s="104"/>
      <c r="E9" s="102"/>
      <c r="F9" s="103"/>
      <c r="G9" s="102"/>
      <c r="H9" s="102"/>
      <c r="I9" s="102"/>
      <c r="J9" s="102"/>
      <c r="K9" s="102"/>
    </row>
    <row r="10" spans="1:11" s="101" customFormat="1" ht="12.75">
      <c r="A10" s="66"/>
      <c r="B10" s="102"/>
      <c r="C10" s="102"/>
      <c r="D10" s="102"/>
      <c r="E10" s="102"/>
      <c r="F10" s="103"/>
      <c r="G10" s="102"/>
      <c r="H10" s="102"/>
      <c r="I10" s="117" t="s">
        <v>5</v>
      </c>
      <c r="J10" s="117"/>
      <c r="K10" s="117"/>
    </row>
    <row r="11" spans="1:13" s="101" customFormat="1" ht="12" customHeight="1">
      <c r="A11" s="66"/>
      <c r="B11" s="102"/>
      <c r="C11" s="82"/>
      <c r="D11" s="102"/>
      <c r="E11" s="102"/>
      <c r="F11" s="103"/>
      <c r="G11" s="102"/>
      <c r="H11" s="102"/>
      <c r="I11" s="102"/>
      <c r="K11" s="102"/>
      <c r="M11" s="102"/>
    </row>
    <row r="12" spans="1:11" s="96" customFormat="1" ht="12">
      <c r="A12" s="100"/>
      <c r="B12" s="82" t="s">
        <v>6</v>
      </c>
      <c r="C12" s="82" t="s">
        <v>61</v>
      </c>
      <c r="D12" s="82" t="s">
        <v>6</v>
      </c>
      <c r="E12" s="82"/>
      <c r="F12" s="99" t="s">
        <v>7</v>
      </c>
      <c r="G12" s="82" t="s">
        <v>8</v>
      </c>
      <c r="H12" s="82"/>
      <c r="I12" s="82" t="s">
        <v>9</v>
      </c>
      <c r="J12" s="82" t="s">
        <v>75</v>
      </c>
      <c r="K12" s="82" t="s">
        <v>74</v>
      </c>
    </row>
    <row r="13" spans="1:11" s="96" customFormat="1" ht="12">
      <c r="A13" s="98" t="s">
        <v>11</v>
      </c>
      <c r="B13" s="78" t="s">
        <v>12</v>
      </c>
      <c r="C13" s="78" t="s">
        <v>19</v>
      </c>
      <c r="D13" s="78" t="s">
        <v>13</v>
      </c>
      <c r="E13" s="78" t="s">
        <v>14</v>
      </c>
      <c r="F13" s="97" t="s">
        <v>15</v>
      </c>
      <c r="G13" s="78" t="s">
        <v>16</v>
      </c>
      <c r="H13" s="77"/>
      <c r="I13" s="78" t="s">
        <v>17</v>
      </c>
      <c r="J13" s="78" t="s">
        <v>76</v>
      </c>
      <c r="K13" s="78" t="s">
        <v>18</v>
      </c>
    </row>
    <row r="15" spans="1:11" ht="12.75">
      <c r="A15" s="66">
        <v>43556</v>
      </c>
      <c r="B15" s="64">
        <v>14771110.61</v>
      </c>
      <c r="C15" s="64">
        <f>0-1630</f>
        <v>-1630</v>
      </c>
      <c r="D15" s="64">
        <f aca="true" t="shared" si="0" ref="D15:D26">IF(ISBLANK(B15),"",B15-C15-E15)</f>
        <v>13740881.43</v>
      </c>
      <c r="E15" s="64">
        <v>1031859.18</v>
      </c>
      <c r="F15" s="65">
        <f>24279/23</f>
        <v>1055.608695652174</v>
      </c>
      <c r="G15" s="64">
        <f>_xlfn.IFERROR((E15/F15/30)," ")</f>
        <v>32.583386383294204</v>
      </c>
      <c r="I15" s="64">
        <v>423062.25</v>
      </c>
      <c r="J15" s="64">
        <v>103185.93</v>
      </c>
      <c r="K15" s="64">
        <v>505611.00999999995</v>
      </c>
    </row>
    <row r="16" ht="12.75">
      <c r="A16" s="66">
        <v>43586</v>
      </c>
    </row>
    <row r="17" ht="12.75">
      <c r="A17" s="66">
        <v>43617</v>
      </c>
    </row>
    <row r="18" ht="12.75">
      <c r="A18" s="66">
        <v>43647</v>
      </c>
    </row>
    <row r="19" ht="12.75">
      <c r="A19" s="66">
        <v>43678</v>
      </c>
    </row>
    <row r="20" ht="12.75">
      <c r="A20" s="66">
        <v>43709</v>
      </c>
    </row>
    <row r="21" ht="12.75">
      <c r="A21" s="66">
        <v>43739</v>
      </c>
    </row>
    <row r="22" ht="12.75">
      <c r="A22" s="66">
        <v>43770</v>
      </c>
    </row>
    <row r="23" spans="1:12" ht="12.75">
      <c r="A23" s="66">
        <v>43800</v>
      </c>
      <c r="L23" s="64"/>
    </row>
    <row r="24" ht="12.75">
      <c r="A24" s="66">
        <v>43831</v>
      </c>
    </row>
    <row r="25" ht="12.75">
      <c r="A25" s="66">
        <v>43862</v>
      </c>
    </row>
    <row r="26" ht="12.75">
      <c r="A26" s="66">
        <v>43891</v>
      </c>
    </row>
    <row r="27" spans="1:11" ht="13.5" thickBot="1">
      <c r="A27" s="95" t="s">
        <v>20</v>
      </c>
      <c r="B27" s="92">
        <f>SUM(B15:B26)</f>
        <v>14771110.61</v>
      </c>
      <c r="C27" s="92">
        <f>SUM(C15:C26)</f>
        <v>-1630</v>
      </c>
      <c r="D27" s="92">
        <f>SUM(D15:D26)</f>
        <v>13740881.43</v>
      </c>
      <c r="E27" s="92">
        <f>SUM(E15:E26)</f>
        <v>1031859.18</v>
      </c>
      <c r="F27" s="94">
        <f>_xlfn.IFERROR(AVERAGE(F15:F26),"")</f>
        <v>1055.608695652174</v>
      </c>
      <c r="G27" s="92">
        <f>_xlfn.IFERROR(AVERAGE(G15:G26),"")</f>
        <v>32.583386383294204</v>
      </c>
      <c r="H27" s="93"/>
      <c r="I27" s="92">
        <f>SUM(I15:I26)</f>
        <v>423062.25</v>
      </c>
      <c r="J27" s="92">
        <f>SUM(J15:J26)</f>
        <v>103185.93</v>
      </c>
      <c r="K27" s="92">
        <f>SUM(K15:K26)</f>
        <v>505611.00999999995</v>
      </c>
    </row>
    <row r="28" spans="2:11" ht="10.5" customHeight="1" thickTop="1">
      <c r="B28" s="91"/>
      <c r="C28" s="91"/>
      <c r="D28" s="91"/>
      <c r="E28" s="91"/>
      <c r="I28" s="91"/>
      <c r="J28" s="91"/>
      <c r="K28" s="91"/>
    </row>
    <row r="29" spans="1:11" s="88" customFormat="1" ht="12.75">
      <c r="A29" s="90"/>
      <c r="B29" s="89"/>
      <c r="C29" s="89">
        <f>_xlfn.IFERROR(C27/B27,"")</f>
        <v>-0.00011035053781917351</v>
      </c>
      <c r="D29" s="89">
        <f>_xlfn.IFERROR(D27/B27,"")</f>
        <v>0.9302537766318981</v>
      </c>
      <c r="E29" s="89">
        <f>_xlfn.IFERROR(E27/B27,"")</f>
        <v>0.06985657390592108</v>
      </c>
      <c r="I29" s="89">
        <f>_xlfn.IFERROR(I27/$E$27,"")</f>
        <v>0.40999998662608206</v>
      </c>
      <c r="J29" s="89">
        <f>_xlfn.IFERROR(J27/$E$27,"")</f>
        <v>0.10000001162949385</v>
      </c>
      <c r="K29" s="89">
        <f>_xlfn.IFERROR(K27/$E$27,"")</f>
        <v>0.4900000114356689</v>
      </c>
    </row>
    <row r="31" spans="1:11" s="69" customFormat="1" ht="12.75">
      <c r="A31" s="114" t="s">
        <v>21</v>
      </c>
      <c r="B31" s="115"/>
      <c r="C31" s="115"/>
      <c r="D31" s="115"/>
      <c r="E31" s="115"/>
      <c r="F31" s="115"/>
      <c r="G31" s="115"/>
      <c r="H31" s="115"/>
      <c r="I31" s="115"/>
      <c r="J31" s="115"/>
      <c r="K31" s="116"/>
    </row>
    <row r="32" ht="12.75">
      <c r="A32" s="68"/>
    </row>
    <row r="33" spans="1:11" s="45" customFormat="1" ht="12.75" customHeight="1">
      <c r="A33" s="41" t="s">
        <v>22</v>
      </c>
      <c r="B33" s="42"/>
      <c r="C33" s="43" t="s">
        <v>86</v>
      </c>
      <c r="D33" s="44"/>
      <c r="E33" s="44"/>
      <c r="F33" s="44"/>
      <c r="G33" s="44"/>
      <c r="H33" s="44"/>
      <c r="I33" s="44"/>
      <c r="J33" s="44"/>
      <c r="K33" s="44"/>
    </row>
    <row r="34" spans="1:11" s="45" customFormat="1" ht="12.75" customHeight="1">
      <c r="A34" s="41"/>
      <c r="B34" s="42"/>
      <c r="C34" s="43" t="s">
        <v>87</v>
      </c>
      <c r="D34" s="44"/>
      <c r="E34" s="44"/>
      <c r="F34" s="44"/>
      <c r="G34" s="44"/>
      <c r="H34" s="44"/>
      <c r="I34" s="44"/>
      <c r="J34" s="44"/>
      <c r="K34" s="44"/>
    </row>
    <row r="35" spans="1:12" ht="6" customHeight="1">
      <c r="A35" s="87"/>
      <c r="B35" s="71"/>
      <c r="C35" s="71"/>
      <c r="D35" s="71"/>
      <c r="F35" s="71"/>
      <c r="G35" s="71"/>
      <c r="H35" s="71"/>
      <c r="I35" s="71"/>
      <c r="J35" s="71"/>
      <c r="K35" s="71"/>
      <c r="L35" s="71"/>
    </row>
    <row r="36" spans="1:12" ht="12.75">
      <c r="A36" s="87" t="s">
        <v>89</v>
      </c>
      <c r="B36" s="71"/>
      <c r="C36" s="71" t="s">
        <v>58</v>
      </c>
      <c r="F36" s="71"/>
      <c r="G36" s="71"/>
      <c r="H36" s="71"/>
      <c r="I36" s="71"/>
      <c r="J36" s="71"/>
      <c r="K36" s="71"/>
      <c r="L36" s="71"/>
    </row>
    <row r="37" spans="1:12" ht="6" customHeight="1">
      <c r="A37" s="87"/>
      <c r="B37" s="71"/>
      <c r="C37" s="71"/>
      <c r="D37" s="71"/>
      <c r="F37" s="71"/>
      <c r="G37" s="71"/>
      <c r="H37" s="71"/>
      <c r="I37" s="71"/>
      <c r="J37" s="71"/>
      <c r="K37" s="71"/>
      <c r="L37" s="71"/>
    </row>
    <row r="38" spans="1:11" s="45" customFormat="1" ht="12.75">
      <c r="A38" s="41" t="s">
        <v>23</v>
      </c>
      <c r="B38" s="42"/>
      <c r="C38" s="43" t="s">
        <v>94</v>
      </c>
      <c r="D38" s="46"/>
      <c r="E38" s="43"/>
      <c r="F38" s="43"/>
      <c r="G38" s="43"/>
      <c r="H38" s="43"/>
      <c r="I38" s="42"/>
      <c r="J38" s="42"/>
      <c r="K38" s="42"/>
    </row>
    <row r="39" spans="1:11" s="45" customFormat="1" ht="6" customHeight="1">
      <c r="A39" s="41"/>
      <c r="B39" s="42"/>
      <c r="C39" s="43"/>
      <c r="D39" s="46"/>
      <c r="E39" s="43"/>
      <c r="F39" s="43"/>
      <c r="G39" s="43"/>
      <c r="H39" s="43"/>
      <c r="I39" s="42"/>
      <c r="J39" s="42"/>
      <c r="K39" s="42"/>
    </row>
    <row r="40" spans="1:11" s="45" customFormat="1" ht="12.75">
      <c r="A40" s="41" t="s">
        <v>25</v>
      </c>
      <c r="B40" s="42"/>
      <c r="C40" s="42" t="s">
        <v>59</v>
      </c>
      <c r="D40" s="46"/>
      <c r="E40" s="47"/>
      <c r="F40" s="42"/>
      <c r="G40" s="42"/>
      <c r="H40" s="42"/>
      <c r="I40" s="42"/>
      <c r="J40" s="42"/>
      <c r="K40" s="42"/>
    </row>
    <row r="41" spans="1:11" s="45" customFormat="1" ht="12.75">
      <c r="A41" s="41"/>
      <c r="B41" s="42"/>
      <c r="C41" s="42" t="s">
        <v>60</v>
      </c>
      <c r="D41" s="46"/>
      <c r="E41" s="47"/>
      <c r="F41" s="42"/>
      <c r="G41" s="42"/>
      <c r="H41" s="42"/>
      <c r="I41" s="42"/>
      <c r="J41" s="42"/>
      <c r="K41" s="42"/>
    </row>
    <row r="42" spans="1:11" s="45" customFormat="1" ht="6" customHeight="1">
      <c r="A42" s="41"/>
      <c r="B42" s="42"/>
      <c r="C42" s="42"/>
      <c r="D42" s="46"/>
      <c r="E42" s="47"/>
      <c r="F42" s="42"/>
      <c r="G42" s="42"/>
      <c r="H42" s="42"/>
      <c r="I42" s="42"/>
      <c r="J42" s="42"/>
      <c r="K42" s="42"/>
    </row>
    <row r="43" spans="1:11" s="45" customFormat="1" ht="12.75">
      <c r="A43" s="41" t="s">
        <v>28</v>
      </c>
      <c r="B43" s="42"/>
      <c r="C43" s="42" t="s">
        <v>29</v>
      </c>
      <c r="D43" s="46"/>
      <c r="E43" s="47"/>
      <c r="F43" s="42"/>
      <c r="G43" s="42"/>
      <c r="H43" s="42"/>
      <c r="I43" s="42"/>
      <c r="J43" s="42"/>
      <c r="K43" s="42"/>
    </row>
    <row r="44" spans="1:11" s="45" customFormat="1" ht="6" customHeight="1">
      <c r="A44" s="41"/>
      <c r="B44" s="42"/>
      <c r="C44" s="42"/>
      <c r="D44" s="46"/>
      <c r="E44" s="47"/>
      <c r="F44" s="42"/>
      <c r="G44" s="42"/>
      <c r="H44" s="42"/>
      <c r="I44" s="42"/>
      <c r="J44" s="42"/>
      <c r="K44" s="42"/>
    </row>
    <row r="45" spans="1:11" s="45" customFormat="1" ht="12.75">
      <c r="A45" s="41" t="s">
        <v>67</v>
      </c>
      <c r="B45" s="42"/>
      <c r="C45" s="42" t="s">
        <v>68</v>
      </c>
      <c r="D45" s="46"/>
      <c r="E45" s="47"/>
      <c r="F45" s="42"/>
      <c r="G45" s="42"/>
      <c r="H45" s="42"/>
      <c r="I45" s="42"/>
      <c r="J45" s="42"/>
      <c r="K45" s="42"/>
    </row>
    <row r="46" spans="1:11" s="45" customFormat="1" ht="12.75">
      <c r="A46" s="41"/>
      <c r="B46" s="42"/>
      <c r="C46" s="42" t="s">
        <v>77</v>
      </c>
      <c r="D46" s="46"/>
      <c r="E46" s="47"/>
      <c r="F46" s="42"/>
      <c r="G46" s="42"/>
      <c r="H46" s="42"/>
      <c r="I46" s="42"/>
      <c r="J46" s="42"/>
      <c r="K46" s="42"/>
    </row>
    <row r="47" spans="1:11" s="45" customFormat="1" ht="12.75">
      <c r="A47" s="41"/>
      <c r="B47" s="42"/>
      <c r="C47" s="42" t="s">
        <v>78</v>
      </c>
      <c r="D47" s="46"/>
      <c r="E47" s="47"/>
      <c r="F47" s="42"/>
      <c r="G47" s="42"/>
      <c r="H47" s="42"/>
      <c r="I47" s="42"/>
      <c r="J47" s="42"/>
      <c r="K47" s="42"/>
    </row>
    <row r="48" spans="1:11" s="45" customFormat="1" ht="3" customHeight="1">
      <c r="A48" s="41"/>
      <c r="B48" s="42"/>
      <c r="C48" s="42"/>
      <c r="D48" s="109"/>
      <c r="E48" s="47"/>
      <c r="F48" s="42"/>
      <c r="G48" s="42"/>
      <c r="H48" s="42"/>
      <c r="I48" s="42"/>
      <c r="J48" s="42"/>
      <c r="K48" s="42"/>
    </row>
    <row r="49" spans="1:11" s="45" customFormat="1" ht="12.75" customHeight="1">
      <c r="A49" s="41"/>
      <c r="B49" s="42"/>
      <c r="C49" s="43" t="s">
        <v>112</v>
      </c>
      <c r="D49" s="43"/>
      <c r="E49" s="43"/>
      <c r="F49" s="43"/>
      <c r="G49" s="43"/>
      <c r="H49" s="43"/>
      <c r="I49" s="43"/>
      <c r="J49" s="43"/>
      <c r="K49" s="43"/>
    </row>
    <row r="50" spans="1:11" s="45" customFormat="1" ht="12.75">
      <c r="A50" s="41"/>
      <c r="B50" s="42"/>
      <c r="C50" s="43" t="s">
        <v>113</v>
      </c>
      <c r="D50" s="43"/>
      <c r="E50" s="43"/>
      <c r="F50" s="43"/>
      <c r="G50" s="43"/>
      <c r="H50" s="43"/>
      <c r="I50" s="43"/>
      <c r="J50" s="43"/>
      <c r="K50" s="43"/>
    </row>
    <row r="51" spans="1:11" s="45" customFormat="1" ht="12.75">
      <c r="A51" s="41"/>
      <c r="B51" s="42"/>
      <c r="C51" s="43" t="s">
        <v>114</v>
      </c>
      <c r="D51" s="43"/>
      <c r="E51" s="43"/>
      <c r="F51" s="43"/>
      <c r="G51" s="43"/>
      <c r="H51" s="43"/>
      <c r="I51" s="43"/>
      <c r="J51" s="43"/>
      <c r="K51" s="43"/>
    </row>
    <row r="52" spans="1:11" s="45" customFormat="1" ht="6" customHeight="1">
      <c r="A52" s="41"/>
      <c r="B52" s="42"/>
      <c r="C52" s="42"/>
      <c r="D52" s="46"/>
      <c r="E52" s="47"/>
      <c r="F52" s="42"/>
      <c r="G52" s="42"/>
      <c r="H52" s="42"/>
      <c r="I52" s="42"/>
      <c r="J52" s="42"/>
      <c r="K52" s="42"/>
    </row>
    <row r="53" spans="1:11" s="45" customFormat="1" ht="12.75">
      <c r="A53" s="41" t="s">
        <v>79</v>
      </c>
      <c r="B53" s="42"/>
      <c r="C53" s="42" t="s">
        <v>72</v>
      </c>
      <c r="D53" s="46"/>
      <c r="E53" s="47"/>
      <c r="F53" s="42"/>
      <c r="G53" s="42"/>
      <c r="H53" s="42"/>
      <c r="I53" s="42"/>
      <c r="J53" s="42"/>
      <c r="K53" s="42"/>
    </row>
    <row r="54" spans="1:11" s="45" customFormat="1" ht="12.75">
      <c r="A54" s="48"/>
      <c r="B54" s="42"/>
      <c r="C54" s="42" t="s">
        <v>73</v>
      </c>
      <c r="D54" s="46"/>
      <c r="E54" s="47"/>
      <c r="F54" s="42"/>
      <c r="G54" s="42"/>
      <c r="H54" s="42"/>
      <c r="I54" s="42"/>
      <c r="J54" s="42"/>
      <c r="K54" s="42"/>
    </row>
    <row r="55" spans="1:11" s="45" customFormat="1" ht="6" customHeight="1">
      <c r="A55" s="49"/>
      <c r="B55" s="50"/>
      <c r="C55" s="50"/>
      <c r="D55" s="50"/>
      <c r="E55" s="51"/>
      <c r="F55" s="50"/>
      <c r="G55" s="50"/>
      <c r="H55" s="50"/>
      <c r="I55" s="50"/>
      <c r="J55" s="50"/>
      <c r="K55" s="50"/>
    </row>
    <row r="56" spans="1:11" s="45" customFormat="1" ht="12.75">
      <c r="A56" s="41" t="s">
        <v>104</v>
      </c>
      <c r="B56" s="16"/>
      <c r="C56" s="107" t="s">
        <v>105</v>
      </c>
      <c r="D56" s="16"/>
      <c r="E56" s="16"/>
      <c r="F56" s="17"/>
      <c r="G56" s="16"/>
      <c r="H56" s="16"/>
      <c r="I56" s="16"/>
      <c r="J56" s="16"/>
      <c r="K56" s="16"/>
    </row>
    <row r="57" spans="1:11" s="45" customFormat="1" ht="12.75">
      <c r="A57" s="3"/>
      <c r="B57" s="16"/>
      <c r="C57" s="108" t="s">
        <v>107</v>
      </c>
      <c r="D57" s="16"/>
      <c r="E57" s="16"/>
      <c r="F57" s="17"/>
      <c r="G57" s="16"/>
      <c r="H57" s="16"/>
      <c r="I57" s="16"/>
      <c r="J57" s="16"/>
      <c r="K57" s="16"/>
    </row>
    <row r="58" spans="1:11" ht="12.75">
      <c r="A58" s="86"/>
      <c r="B58" s="84"/>
      <c r="C58" s="84"/>
      <c r="D58" s="84"/>
      <c r="E58" s="84"/>
      <c r="F58" s="85"/>
      <c r="G58" s="84"/>
      <c r="H58" s="84"/>
      <c r="I58" s="84"/>
      <c r="J58" s="84"/>
      <c r="K58" s="84"/>
    </row>
    <row r="59" spans="1:11" s="69" customFormat="1" ht="12.75">
      <c r="A59" s="114" t="s">
        <v>31</v>
      </c>
      <c r="B59" s="115"/>
      <c r="C59" s="115"/>
      <c r="D59" s="115"/>
      <c r="E59" s="115"/>
      <c r="F59" s="115"/>
      <c r="G59" s="115"/>
      <c r="H59" s="115"/>
      <c r="I59" s="115"/>
      <c r="J59" s="115"/>
      <c r="K59" s="116"/>
    </row>
    <row r="60" ht="12.75">
      <c r="A60" s="68"/>
    </row>
    <row r="61" spans="1:11" ht="13.5">
      <c r="A61" s="83"/>
      <c r="D61" s="82" t="s">
        <v>9</v>
      </c>
      <c r="E61" s="53" t="s">
        <v>75</v>
      </c>
      <c r="F61" s="117" t="s">
        <v>80</v>
      </c>
      <c r="G61" s="117"/>
      <c r="H61" s="117"/>
      <c r="I61" s="117"/>
      <c r="K61" s="63"/>
    </row>
    <row r="62" spans="1:11" ht="12.75">
      <c r="A62" s="81"/>
      <c r="D62" s="78" t="s">
        <v>17</v>
      </c>
      <c r="E62" s="54" t="s">
        <v>76</v>
      </c>
      <c r="F62" s="78" t="s">
        <v>81</v>
      </c>
      <c r="G62" s="80" t="s">
        <v>82</v>
      </c>
      <c r="H62" s="79"/>
      <c r="I62" s="78" t="s">
        <v>83</v>
      </c>
      <c r="K62" s="63"/>
    </row>
    <row r="63" spans="2:11" ht="12.75">
      <c r="B63" s="73"/>
      <c r="C63" s="73"/>
      <c r="D63" s="74">
        <v>0.41</v>
      </c>
      <c r="E63" s="74">
        <v>0.1</v>
      </c>
      <c r="F63" s="74">
        <v>0.39</v>
      </c>
      <c r="G63" s="76">
        <v>0.0875</v>
      </c>
      <c r="H63" s="75"/>
      <c r="I63" s="74">
        <v>0.0125</v>
      </c>
      <c r="K63" s="63"/>
    </row>
    <row r="64" spans="2:11" ht="12.75">
      <c r="B64" s="73"/>
      <c r="C64" s="73"/>
      <c r="D64" s="73"/>
      <c r="E64" s="71"/>
      <c r="F64" s="72"/>
      <c r="G64" s="70"/>
      <c r="H64" s="71"/>
      <c r="I64" s="70"/>
      <c r="J64" s="70"/>
      <c r="K64" s="70"/>
    </row>
    <row r="65" spans="1:11" s="69" customFormat="1" ht="12.75">
      <c r="A65" s="118" t="s">
        <v>44</v>
      </c>
      <c r="B65" s="119"/>
      <c r="C65" s="119"/>
      <c r="D65" s="119"/>
      <c r="E65" s="119"/>
      <c r="F65" s="119"/>
      <c r="G65" s="119"/>
      <c r="H65" s="119"/>
      <c r="I65" s="119"/>
      <c r="J65" s="119"/>
      <c r="K65" s="120"/>
    </row>
    <row r="66" spans="1:6" ht="12.75">
      <c r="A66" s="68"/>
      <c r="E66" s="63"/>
      <c r="F66" s="64"/>
    </row>
    <row r="67" spans="1:11" ht="52.5" customHeight="1">
      <c r="A67" s="121" t="s">
        <v>110</v>
      </c>
      <c r="B67" s="121"/>
      <c r="C67" s="121"/>
      <c r="D67" s="121"/>
      <c r="E67" s="121"/>
      <c r="F67" s="121"/>
      <c r="G67" s="121"/>
      <c r="H67" s="121"/>
      <c r="I67" s="121"/>
      <c r="J67" s="121"/>
      <c r="K67" s="121"/>
    </row>
    <row r="68" spans="1:6" ht="12.75">
      <c r="A68" s="64"/>
      <c r="E68" s="63"/>
      <c r="F68" s="64"/>
    </row>
    <row r="69" spans="2:5" ht="12.75">
      <c r="B69" s="68" t="s">
        <v>45</v>
      </c>
      <c r="C69" s="68"/>
      <c r="D69" s="68"/>
      <c r="E69" s="64">
        <v>291205</v>
      </c>
    </row>
    <row r="70" spans="2:5" ht="12.75">
      <c r="B70" s="68" t="s">
        <v>46</v>
      </c>
      <c r="C70" s="68"/>
      <c r="D70" s="68"/>
      <c r="E70" s="64">
        <v>634506</v>
      </c>
    </row>
    <row r="71" spans="2:5" ht="12.75">
      <c r="B71" s="64" t="s">
        <v>47</v>
      </c>
      <c r="E71" s="64">
        <v>308570</v>
      </c>
    </row>
    <row r="72" ht="12.75">
      <c r="E72" s="64" t="s">
        <v>32</v>
      </c>
    </row>
    <row r="74" ht="12.75">
      <c r="A74" s="67" t="s">
        <v>90</v>
      </c>
    </row>
  </sheetData>
  <sheetProtection/>
  <mergeCells count="12">
    <mergeCell ref="I10:K10"/>
    <mergeCell ref="A31:K31"/>
    <mergeCell ref="A59:K59"/>
    <mergeCell ref="F61:I61"/>
    <mergeCell ref="A65:K65"/>
    <mergeCell ref="A67:K67"/>
    <mergeCell ref="A1:K1"/>
    <mergeCell ref="A2:K2"/>
    <mergeCell ref="A3:K3"/>
    <mergeCell ref="A4:K4"/>
    <mergeCell ref="A5:K5"/>
    <mergeCell ref="A8:K8"/>
  </mergeCells>
  <hyperlinks>
    <hyperlink ref="A4" r:id="rId1" display="www.monticellocasinoandraceway.com"/>
  </hyperlinks>
  <printOptions horizontalCentered="1"/>
  <pageMargins left="0.25" right="0.25" top="0.75" bottom="0.5" header="0.5" footer="0.5"/>
  <pageSetup fitToHeight="1" fitToWidth="1" horizontalDpi="600" verticalDpi="600" orientation="portrait" scale="77"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1:M75"/>
  <sheetViews>
    <sheetView zoomScalePageLayoutView="0" workbookViewId="0" topLeftCell="A1">
      <selection activeCell="I15" sqref="I15"/>
    </sheetView>
  </sheetViews>
  <sheetFormatPr defaultColWidth="9.140625" defaultRowHeight="12.75"/>
  <cols>
    <col min="1" max="1" width="9.28125" style="3" customWidth="1"/>
    <col min="2" max="2" width="14.140625" style="16" customWidth="1"/>
    <col min="3" max="3" width="10.8515625" style="16" customWidth="1"/>
    <col min="4" max="4" width="14.140625" style="16" customWidth="1"/>
    <col min="5" max="5" width="12.7109375" style="16" customWidth="1"/>
    <col min="6" max="6" width="8.8515625" style="17" customWidth="1"/>
    <col min="7" max="7" width="10.28125" style="16" customWidth="1"/>
    <col min="8" max="8" width="1.421875" style="16" customWidth="1"/>
    <col min="9" max="10" width="11.7109375" style="16" bestFit="1" customWidth="1"/>
    <col min="11" max="12" width="12.8515625" style="16" bestFit="1" customWidth="1"/>
    <col min="13" max="13" width="12.7109375" style="0" customWidth="1"/>
  </cols>
  <sheetData>
    <row r="1" spans="1:12" ht="17.25">
      <c r="A1" s="130" t="s">
        <v>55</v>
      </c>
      <c r="B1" s="130"/>
      <c r="C1" s="130"/>
      <c r="D1" s="130"/>
      <c r="E1" s="130"/>
      <c r="F1" s="130"/>
      <c r="G1" s="130"/>
      <c r="H1" s="130"/>
      <c r="I1" s="130"/>
      <c r="J1" s="130"/>
      <c r="K1" s="130"/>
      <c r="L1" s="130"/>
    </row>
    <row r="2" spans="1:12" ht="15">
      <c r="A2" s="131" t="s">
        <v>0</v>
      </c>
      <c r="B2" s="131"/>
      <c r="C2" s="131"/>
      <c r="D2" s="131"/>
      <c r="E2" s="131"/>
      <c r="F2" s="131"/>
      <c r="G2" s="131"/>
      <c r="H2" s="131"/>
      <c r="I2" s="131"/>
      <c r="J2" s="131"/>
      <c r="K2" s="131"/>
      <c r="L2" s="131"/>
    </row>
    <row r="3" spans="1:12" s="1" customFormat="1" ht="15">
      <c r="A3" s="131" t="s">
        <v>1</v>
      </c>
      <c r="B3" s="131"/>
      <c r="C3" s="131"/>
      <c r="D3" s="131"/>
      <c r="E3" s="131"/>
      <c r="F3" s="131"/>
      <c r="G3" s="131"/>
      <c r="H3" s="131"/>
      <c r="I3" s="131"/>
      <c r="J3" s="131"/>
      <c r="K3" s="131"/>
      <c r="L3" s="131"/>
    </row>
    <row r="4" spans="1:12" s="1" customFormat="1" ht="13.5">
      <c r="A4" s="133" t="s">
        <v>2</v>
      </c>
      <c r="B4" s="133"/>
      <c r="C4" s="133"/>
      <c r="D4" s="133"/>
      <c r="E4" s="133"/>
      <c r="F4" s="133"/>
      <c r="G4" s="133"/>
      <c r="H4" s="133"/>
      <c r="I4" s="133"/>
      <c r="J4" s="133"/>
      <c r="K4" s="133"/>
      <c r="L4" s="133"/>
    </row>
    <row r="5" spans="1:12" s="1" customFormat="1" ht="13.5">
      <c r="A5" s="132" t="s">
        <v>3</v>
      </c>
      <c r="B5" s="132"/>
      <c r="C5" s="132"/>
      <c r="D5" s="132"/>
      <c r="E5" s="132"/>
      <c r="F5" s="132"/>
      <c r="G5" s="132"/>
      <c r="H5" s="132"/>
      <c r="I5" s="132"/>
      <c r="J5" s="132"/>
      <c r="K5" s="132"/>
      <c r="L5" s="132"/>
    </row>
    <row r="6" spans="1:12" s="1" customFormat="1" ht="13.5">
      <c r="A6" s="2"/>
      <c r="B6" s="2"/>
      <c r="C6" s="2"/>
      <c r="D6" s="2"/>
      <c r="E6" s="2"/>
      <c r="F6" s="2"/>
      <c r="G6" s="2"/>
      <c r="H6" s="2"/>
      <c r="I6" s="2"/>
      <c r="J6" s="2"/>
      <c r="K6" s="2"/>
      <c r="L6" s="2"/>
    </row>
    <row r="7" spans="1:12" s="1" customFormat="1" ht="12.75">
      <c r="A7" s="3"/>
      <c r="B7" s="4"/>
      <c r="C7" s="4"/>
      <c r="D7" s="4"/>
      <c r="E7" s="5"/>
      <c r="F7" s="6"/>
      <c r="G7" s="5"/>
      <c r="H7" s="5"/>
      <c r="I7" s="5"/>
      <c r="J7" s="5"/>
      <c r="K7" s="5"/>
      <c r="L7" s="5"/>
    </row>
    <row r="8" spans="1:12" s="7" customFormat="1" ht="14.25" customHeight="1">
      <c r="A8" s="123" t="s">
        <v>62</v>
      </c>
      <c r="B8" s="124"/>
      <c r="C8" s="124"/>
      <c r="D8" s="124"/>
      <c r="E8" s="124"/>
      <c r="F8" s="124"/>
      <c r="G8" s="124"/>
      <c r="H8" s="124"/>
      <c r="I8" s="124"/>
      <c r="J8" s="124"/>
      <c r="K8" s="124"/>
      <c r="L8" s="125"/>
    </row>
    <row r="9" spans="1:12" s="1" customFormat="1" ht="9" customHeight="1">
      <c r="A9" s="3"/>
      <c r="B9" s="4"/>
      <c r="C9" s="4"/>
      <c r="D9" s="4"/>
      <c r="E9" s="5"/>
      <c r="F9" s="6"/>
      <c r="G9" s="5"/>
      <c r="H9" s="5"/>
      <c r="I9" s="5"/>
      <c r="J9" s="5"/>
      <c r="K9" s="5"/>
      <c r="L9" s="5"/>
    </row>
    <row r="10" spans="1:12" s="1" customFormat="1" ht="12.75">
      <c r="A10" s="3"/>
      <c r="B10" s="5"/>
      <c r="C10" s="5"/>
      <c r="D10" s="5"/>
      <c r="E10" s="5"/>
      <c r="F10" s="6"/>
      <c r="G10" s="5"/>
      <c r="H10" s="5"/>
      <c r="I10" s="122" t="s">
        <v>5</v>
      </c>
      <c r="J10" s="122"/>
      <c r="K10" s="122"/>
      <c r="L10" s="122"/>
    </row>
    <row r="11" spans="1:12" s="1" customFormat="1" ht="12" customHeight="1">
      <c r="A11" s="3"/>
      <c r="B11" s="5"/>
      <c r="C11" s="10"/>
      <c r="D11" s="5"/>
      <c r="E11" s="5"/>
      <c r="F11" s="6"/>
      <c r="G11" s="5"/>
      <c r="H11" s="5"/>
      <c r="I11" s="5"/>
      <c r="J11" s="5"/>
      <c r="K11" s="5"/>
      <c r="L11" s="5"/>
    </row>
    <row r="12" spans="1:12" s="12" customFormat="1" ht="12">
      <c r="A12" s="9"/>
      <c r="B12" s="10" t="s">
        <v>6</v>
      </c>
      <c r="C12" s="10" t="s">
        <v>61</v>
      </c>
      <c r="D12" s="10" t="s">
        <v>6</v>
      </c>
      <c r="E12" s="10"/>
      <c r="F12" s="11" t="s">
        <v>7</v>
      </c>
      <c r="G12" s="10" t="s">
        <v>8</v>
      </c>
      <c r="H12" s="10"/>
      <c r="I12" s="10" t="s">
        <v>9</v>
      </c>
      <c r="J12" s="10" t="s">
        <v>74</v>
      </c>
      <c r="K12" s="10" t="s">
        <v>10</v>
      </c>
      <c r="L12" s="10" t="s">
        <v>75</v>
      </c>
    </row>
    <row r="13" spans="1:12" s="12" customFormat="1" ht="12">
      <c r="A13" s="13" t="s">
        <v>11</v>
      </c>
      <c r="B13" s="8" t="s">
        <v>12</v>
      </c>
      <c r="C13" s="8" t="s">
        <v>19</v>
      </c>
      <c r="D13" s="8" t="s">
        <v>13</v>
      </c>
      <c r="E13" s="8" t="s">
        <v>14</v>
      </c>
      <c r="F13" s="14" t="s">
        <v>15</v>
      </c>
      <c r="G13" s="8" t="s">
        <v>16</v>
      </c>
      <c r="H13" s="15"/>
      <c r="I13" s="8" t="s">
        <v>17</v>
      </c>
      <c r="J13" s="8" t="s">
        <v>18</v>
      </c>
      <c r="K13" s="8" t="s">
        <v>19</v>
      </c>
      <c r="L13" s="8" t="s">
        <v>76</v>
      </c>
    </row>
    <row r="15" spans="1:12" ht="12.75">
      <c r="A15" s="3">
        <v>40269</v>
      </c>
      <c r="B15" s="16">
        <v>64238079.16</v>
      </c>
      <c r="C15" s="16">
        <f>505097.62-25840-31020-40105-32225-21785</f>
        <v>354122.62</v>
      </c>
      <c r="D15" s="16">
        <f aca="true" t="shared" si="0" ref="D15:D26">B15-C15-E15</f>
        <v>58954360.03</v>
      </c>
      <c r="E15" s="16">
        <v>4929596.51</v>
      </c>
      <c r="F15" s="17">
        <v>1090</v>
      </c>
      <c r="G15" s="16">
        <f>E15/F15/30</f>
        <v>150.7521868501529</v>
      </c>
      <c r="I15" s="16">
        <v>1873246.66</v>
      </c>
      <c r="J15" s="16">
        <v>2070430.53</v>
      </c>
      <c r="K15" s="16">
        <v>492959.66</v>
      </c>
      <c r="L15" s="16">
        <v>492959.66</v>
      </c>
    </row>
    <row r="16" spans="1:12" ht="12.75">
      <c r="A16" s="3">
        <v>40299</v>
      </c>
      <c r="B16" s="16">
        <v>72770689.73</v>
      </c>
      <c r="C16" s="16">
        <f>572894.62-27950-35142.5</f>
        <v>509802.12</v>
      </c>
      <c r="D16" s="16">
        <f t="shared" si="0"/>
        <v>66740321.11</v>
      </c>
      <c r="E16" s="16">
        <v>5520566.5</v>
      </c>
      <c r="F16" s="17">
        <f>33790/31</f>
        <v>1090</v>
      </c>
      <c r="G16" s="16">
        <f>E16/F16/31</f>
        <v>163.3787067179639</v>
      </c>
      <c r="I16" s="16">
        <v>2097815.29</v>
      </c>
      <c r="J16" s="16">
        <v>2318637.94</v>
      </c>
      <c r="K16" s="16">
        <v>552056.67</v>
      </c>
      <c r="L16" s="16">
        <v>552056.67</v>
      </c>
    </row>
    <row r="17" spans="1:12" ht="12.75">
      <c r="A17" s="3">
        <v>40330</v>
      </c>
      <c r="B17" s="16">
        <v>62858404.15</v>
      </c>
      <c r="C17" s="16">
        <f>497123.07-28000</f>
        <v>469123.07</v>
      </c>
      <c r="D17" s="16">
        <f t="shared" si="0"/>
        <v>57748429.8</v>
      </c>
      <c r="E17" s="16">
        <v>4640851.28</v>
      </c>
      <c r="F17" s="17">
        <v>1090</v>
      </c>
      <c r="G17" s="16">
        <f>E17/F17/30</f>
        <v>141.92205749235475</v>
      </c>
      <c r="I17" s="16">
        <v>1763523.51</v>
      </c>
      <c r="J17" s="16">
        <v>1949157.52</v>
      </c>
      <c r="K17" s="16">
        <v>464085.16</v>
      </c>
      <c r="L17" s="16">
        <v>464085.16</v>
      </c>
    </row>
    <row r="18" spans="1:12" ht="12.75">
      <c r="A18" s="3">
        <v>40360</v>
      </c>
      <c r="B18" s="16">
        <v>79570444.33</v>
      </c>
      <c r="C18" s="16">
        <f>533668.79-26375</f>
        <v>507293.79000000004</v>
      </c>
      <c r="D18" s="16">
        <f t="shared" si="0"/>
        <v>73142103.36999999</v>
      </c>
      <c r="E18" s="16">
        <v>5921047.17</v>
      </c>
      <c r="F18" s="17">
        <f>33790/31</f>
        <v>1090</v>
      </c>
      <c r="G18" s="16">
        <f>E18/F18/31</f>
        <v>175.2307537733057</v>
      </c>
      <c r="I18" s="16">
        <v>2249997.93</v>
      </c>
      <c r="J18" s="16">
        <v>2486839.81</v>
      </c>
      <c r="K18" s="16">
        <v>592104.73</v>
      </c>
      <c r="L18" s="16">
        <v>592104.73</v>
      </c>
    </row>
    <row r="19" spans="1:12" ht="12.75">
      <c r="A19" s="3">
        <v>40391</v>
      </c>
      <c r="B19" s="16">
        <v>75975219.94</v>
      </c>
      <c r="C19" s="16">
        <f>552686.25-34600-76807.15-76807.15</f>
        <v>364471.94999999995</v>
      </c>
      <c r="D19" s="16">
        <f t="shared" si="0"/>
        <v>69958877.31</v>
      </c>
      <c r="E19" s="16">
        <v>5651870.68</v>
      </c>
      <c r="F19" s="17">
        <f>33790/31</f>
        <v>1090</v>
      </c>
      <c r="G19" s="16">
        <f>E19/F19/31</f>
        <v>167.26459544243858</v>
      </c>
      <c r="I19" s="16">
        <v>2186766.23</v>
      </c>
      <c r="J19" s="16">
        <v>2334730.3</v>
      </c>
      <c r="K19" s="16">
        <v>565187.07</v>
      </c>
      <c r="L19" s="16">
        <v>565187.07</v>
      </c>
    </row>
    <row r="20" spans="1:12" ht="12.75">
      <c r="A20" s="3">
        <v>40422</v>
      </c>
      <c r="B20" s="16">
        <v>71079382.14</v>
      </c>
      <c r="C20" s="16">
        <f>585364.17-30530</f>
        <v>554834.17</v>
      </c>
      <c r="D20" s="16">
        <f t="shared" si="0"/>
        <v>65420077.739999995</v>
      </c>
      <c r="E20" s="16">
        <v>5104470.23</v>
      </c>
      <c r="F20" s="17">
        <v>1090</v>
      </c>
      <c r="G20" s="16">
        <f>E20/F20/30</f>
        <v>156.10000703363914</v>
      </c>
      <c r="I20" s="16">
        <v>1990743.35</v>
      </c>
      <c r="J20" s="16">
        <v>2092832.81</v>
      </c>
      <c r="K20" s="16">
        <v>510447.04</v>
      </c>
      <c r="L20" s="16">
        <v>510447.04</v>
      </c>
    </row>
    <row r="21" spans="1:12" ht="12.75">
      <c r="A21" s="3">
        <v>40452</v>
      </c>
      <c r="B21" s="16">
        <v>72030739.13</v>
      </c>
      <c r="C21" s="16">
        <f>692402.63-47220</f>
        <v>645182.63</v>
      </c>
      <c r="D21" s="16">
        <f t="shared" si="0"/>
        <v>66334069.79</v>
      </c>
      <c r="E21" s="16">
        <v>5051486.71</v>
      </c>
      <c r="F21" s="17">
        <f>33790/31</f>
        <v>1090</v>
      </c>
      <c r="G21" s="16">
        <f>E21/F21/31</f>
        <v>149.49649926013615</v>
      </c>
      <c r="I21" s="16">
        <v>1970079.82</v>
      </c>
      <c r="J21" s="16">
        <v>2071109.54</v>
      </c>
      <c r="K21" s="16">
        <v>505148.71</v>
      </c>
      <c r="L21" s="16">
        <v>505148.71</v>
      </c>
    </row>
    <row r="22" spans="1:12" ht="12.75">
      <c r="A22" s="3">
        <v>40483</v>
      </c>
      <c r="B22" s="16">
        <v>62553602.75</v>
      </c>
      <c r="C22" s="16">
        <f>633844.92-31030</f>
        <v>602814.92</v>
      </c>
      <c r="D22" s="16">
        <f t="shared" si="0"/>
        <v>57594007.16</v>
      </c>
      <c r="E22" s="16">
        <v>4356780.67</v>
      </c>
      <c r="F22" s="17">
        <f>33060/30</f>
        <v>1102</v>
      </c>
      <c r="G22" s="16">
        <f>E22/F22/30</f>
        <v>131.78404930429522</v>
      </c>
      <c r="I22" s="16">
        <v>1699144.43</v>
      </c>
      <c r="J22" s="16">
        <v>1786280.07</v>
      </c>
      <c r="K22" s="16">
        <v>435678.08</v>
      </c>
      <c r="L22" s="16">
        <v>435678.08</v>
      </c>
    </row>
    <row r="23" spans="1:12" ht="12.75">
      <c r="A23" s="3">
        <v>40513</v>
      </c>
      <c r="B23" s="16">
        <v>52870038.77</v>
      </c>
      <c r="C23" s="16">
        <f>350645.61-54850</f>
        <v>295795.61</v>
      </c>
      <c r="D23" s="16">
        <f t="shared" si="0"/>
        <v>48712370.720000006</v>
      </c>
      <c r="E23" s="16">
        <v>3861872.44</v>
      </c>
      <c r="F23" s="17">
        <f>34410/31</f>
        <v>1110</v>
      </c>
      <c r="G23" s="16">
        <f>E23/F23/31</f>
        <v>112.2311083987213</v>
      </c>
      <c r="I23" s="16">
        <v>1506130.27</v>
      </c>
      <c r="J23" s="16">
        <v>1583367.74</v>
      </c>
      <c r="K23" s="16">
        <v>386187.3</v>
      </c>
      <c r="L23" s="16">
        <v>386187.3</v>
      </c>
    </row>
    <row r="24" spans="1:12" ht="12.75">
      <c r="A24" s="3">
        <v>40544</v>
      </c>
      <c r="B24" s="16">
        <v>54764307.15</v>
      </c>
      <c r="C24" s="16">
        <f>336177.01-30005</f>
        <v>306172.01</v>
      </c>
      <c r="D24" s="16">
        <f t="shared" si="0"/>
        <v>50492734.35</v>
      </c>
      <c r="E24" s="16">
        <v>3965400.79</v>
      </c>
      <c r="F24" s="17">
        <f>34410/31</f>
        <v>1110</v>
      </c>
      <c r="G24" s="16">
        <f>E24/F24/31</f>
        <v>115.23977884335949</v>
      </c>
      <c r="I24" s="16">
        <v>1546506.3</v>
      </c>
      <c r="J24" s="16">
        <v>1625814.29</v>
      </c>
      <c r="K24" s="16">
        <v>396540.07</v>
      </c>
      <c r="L24" s="16">
        <v>396540.07</v>
      </c>
    </row>
    <row r="25" spans="1:12" ht="12.75">
      <c r="A25" s="3">
        <v>40575</v>
      </c>
      <c r="B25" s="16">
        <v>56413661.89</v>
      </c>
      <c r="C25" s="16">
        <f>363279.03-32215</f>
        <v>331064.03</v>
      </c>
      <c r="D25" s="16">
        <f t="shared" si="0"/>
        <v>51907957.72</v>
      </c>
      <c r="E25" s="16">
        <v>4174640.14</v>
      </c>
      <c r="F25" s="17">
        <v>1110</v>
      </c>
      <c r="G25" s="16">
        <f>E25/F25/28</f>
        <v>134.31918082368082</v>
      </c>
      <c r="I25" s="16">
        <v>1628109.63</v>
      </c>
      <c r="J25" s="16">
        <v>1711602.47</v>
      </c>
      <c r="K25" s="16">
        <v>417463.99</v>
      </c>
      <c r="L25" s="16">
        <v>417463.99</v>
      </c>
    </row>
    <row r="26" spans="1:12" ht="12.75">
      <c r="A26" s="3">
        <v>40603</v>
      </c>
      <c r="B26" s="16">
        <v>67036094.07</v>
      </c>
      <c r="C26" s="16">
        <f>512171.87-26250</f>
        <v>485921.87</v>
      </c>
      <c r="D26" s="16">
        <f t="shared" si="0"/>
        <v>61635234.27</v>
      </c>
      <c r="E26" s="16">
        <v>4914937.93</v>
      </c>
      <c r="F26" s="17">
        <f>34410/31</f>
        <v>1110</v>
      </c>
      <c r="G26" s="16">
        <f>E26/F26/31</f>
        <v>142.83458093577448</v>
      </c>
      <c r="I26" s="16">
        <v>1916825.81</v>
      </c>
      <c r="J26" s="16">
        <v>2015124.57</v>
      </c>
      <c r="K26" s="16">
        <v>491493.79</v>
      </c>
      <c r="L26" s="16">
        <v>491493.79</v>
      </c>
    </row>
    <row r="27" spans="1:12" ht="13.5" thickBot="1">
      <c r="A27" s="3" t="s">
        <v>20</v>
      </c>
      <c r="B27" s="18">
        <f>SUM(B15:B26)</f>
        <v>792160663.2099999</v>
      </c>
      <c r="C27" s="18">
        <f>SUM(C15:C26)</f>
        <v>5426598.79</v>
      </c>
      <c r="D27" s="18">
        <f>SUM(D15:D26)</f>
        <v>728640543.3700001</v>
      </c>
      <c r="E27" s="18">
        <f>SUM(E15:E26)</f>
        <v>58093521.05</v>
      </c>
      <c r="I27" s="18">
        <f>SUM(I15:I26)</f>
        <v>22428889.23</v>
      </c>
      <c r="J27" s="18">
        <f>SUM(J15:J26)</f>
        <v>24045927.59</v>
      </c>
      <c r="K27" s="18">
        <f>SUM(K15:K26)</f>
        <v>5809352.2700000005</v>
      </c>
      <c r="L27" s="18">
        <f>SUM(L15:L26)</f>
        <v>5809352.2700000005</v>
      </c>
    </row>
    <row r="28" spans="2:12" ht="10.5" customHeight="1" thickTop="1">
      <c r="B28" s="19"/>
      <c r="C28" s="19"/>
      <c r="D28" s="19"/>
      <c r="E28" s="19"/>
      <c r="I28" s="19"/>
      <c r="J28" s="19"/>
      <c r="K28" s="19"/>
      <c r="L28" s="19"/>
    </row>
    <row r="29" spans="1:12" s="22" customFormat="1" ht="12.75">
      <c r="A29" s="20"/>
      <c r="B29" s="21"/>
      <c r="C29" s="21">
        <f>C27/B27</f>
        <v>0.006850376498133967</v>
      </c>
      <c r="D29" s="21">
        <f>D27/B27</f>
        <v>0.9198140948041992</v>
      </c>
      <c r="E29" s="21">
        <f>E27/B27</f>
        <v>0.07333552869766716</v>
      </c>
      <c r="I29" s="21">
        <f>I27/$E$27</f>
        <v>0.386082455058902</v>
      </c>
      <c r="J29" s="21">
        <f>J27/$E$27</f>
        <v>0.4139175445968256</v>
      </c>
      <c r="K29" s="21">
        <f>K27/$E$27</f>
        <v>0.10000000284024789</v>
      </c>
      <c r="L29" s="21">
        <f>L27/$E$27</f>
        <v>0.10000000284024789</v>
      </c>
    </row>
    <row r="31" spans="1:12" s="23" customFormat="1" ht="12.75">
      <c r="A31" s="123" t="s">
        <v>21</v>
      </c>
      <c r="B31" s="124"/>
      <c r="C31" s="124"/>
      <c r="D31" s="124"/>
      <c r="E31" s="124"/>
      <c r="F31" s="124"/>
      <c r="G31" s="124"/>
      <c r="H31" s="124"/>
      <c r="I31" s="124"/>
      <c r="J31" s="124"/>
      <c r="K31" s="124"/>
      <c r="L31" s="125"/>
    </row>
    <row r="32" ht="12.75">
      <c r="A32" s="24"/>
    </row>
    <row r="33" spans="1:12" s="45" customFormat="1" ht="12.75" customHeight="1">
      <c r="A33" s="41" t="s">
        <v>22</v>
      </c>
      <c r="B33" s="42"/>
      <c r="C33" s="43" t="s">
        <v>86</v>
      </c>
      <c r="D33" s="44"/>
      <c r="E33" s="44"/>
      <c r="F33" s="44"/>
      <c r="G33" s="44"/>
      <c r="H33" s="44"/>
      <c r="I33" s="44"/>
      <c r="J33" s="44"/>
      <c r="K33" s="44"/>
      <c r="L33" s="44"/>
    </row>
    <row r="34" spans="1:12" s="45" customFormat="1" ht="12.75" customHeight="1">
      <c r="A34" s="41"/>
      <c r="B34" s="42"/>
      <c r="C34" s="43" t="s">
        <v>87</v>
      </c>
      <c r="D34" s="44"/>
      <c r="E34" s="44"/>
      <c r="F34" s="44"/>
      <c r="G34" s="44"/>
      <c r="H34" s="44"/>
      <c r="I34" s="44"/>
      <c r="J34" s="44"/>
      <c r="K34" s="44"/>
      <c r="L34" s="44"/>
    </row>
    <row r="35" spans="1:13" ht="6" customHeight="1">
      <c r="A35" s="25"/>
      <c r="B35" s="26"/>
      <c r="C35" s="26"/>
      <c r="D35" s="26"/>
      <c r="F35" s="26"/>
      <c r="G35" s="26"/>
      <c r="H35" s="26"/>
      <c r="I35" s="26"/>
      <c r="J35" s="26"/>
      <c r="K35" s="26"/>
      <c r="L35" s="26"/>
      <c r="M35" s="26"/>
    </row>
    <row r="36" spans="1:13" ht="12.75">
      <c r="A36" s="25" t="s">
        <v>89</v>
      </c>
      <c r="B36" s="26"/>
      <c r="C36" s="26" t="s">
        <v>58</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2" s="45" customFormat="1" ht="12.75">
      <c r="A38" s="41" t="s">
        <v>23</v>
      </c>
      <c r="B38" s="42"/>
      <c r="C38" s="43" t="s">
        <v>24</v>
      </c>
      <c r="D38" s="46"/>
      <c r="E38" s="43"/>
      <c r="F38" s="43"/>
      <c r="G38" s="43"/>
      <c r="H38" s="43"/>
      <c r="I38" s="42"/>
      <c r="J38" s="42"/>
      <c r="K38" s="42"/>
      <c r="L38" s="42"/>
    </row>
    <row r="39" spans="1:12" s="45" customFormat="1" ht="6" customHeight="1">
      <c r="A39" s="41"/>
      <c r="B39" s="42"/>
      <c r="C39" s="43"/>
      <c r="D39" s="46"/>
      <c r="E39" s="43"/>
      <c r="F39" s="43"/>
      <c r="G39" s="43"/>
      <c r="H39" s="43"/>
      <c r="I39" s="42"/>
      <c r="J39" s="42"/>
      <c r="K39" s="42"/>
      <c r="L39" s="42"/>
    </row>
    <row r="40" spans="1:12" s="45" customFormat="1" ht="12.75">
      <c r="A40" s="41" t="s">
        <v>25</v>
      </c>
      <c r="B40" s="42"/>
      <c r="C40" s="42" t="s">
        <v>59</v>
      </c>
      <c r="D40" s="46"/>
      <c r="E40" s="47"/>
      <c r="F40" s="42"/>
      <c r="G40" s="42"/>
      <c r="H40" s="42"/>
      <c r="I40" s="42"/>
      <c r="J40" s="42"/>
      <c r="K40" s="42"/>
      <c r="L40" s="42"/>
    </row>
    <row r="41" spans="1:12" s="45" customFormat="1" ht="12.75">
      <c r="A41" s="41"/>
      <c r="B41" s="42"/>
      <c r="C41" s="42" t="s">
        <v>60</v>
      </c>
      <c r="D41" s="46"/>
      <c r="E41" s="47"/>
      <c r="F41" s="42"/>
      <c r="G41" s="42"/>
      <c r="H41" s="42"/>
      <c r="I41" s="42"/>
      <c r="J41" s="42"/>
      <c r="K41" s="42"/>
      <c r="L41" s="42"/>
    </row>
    <row r="42" spans="1:12" s="45" customFormat="1" ht="6" customHeight="1">
      <c r="A42" s="41"/>
      <c r="B42" s="42"/>
      <c r="C42" s="42"/>
      <c r="D42" s="46"/>
      <c r="E42" s="47"/>
      <c r="F42" s="42"/>
      <c r="G42" s="42"/>
      <c r="H42" s="42"/>
      <c r="I42" s="42"/>
      <c r="J42" s="42"/>
      <c r="K42" s="42"/>
      <c r="L42" s="42"/>
    </row>
    <row r="43" spans="1:12" s="45" customFormat="1" ht="12.75">
      <c r="A43" s="41" t="s">
        <v>28</v>
      </c>
      <c r="B43" s="42"/>
      <c r="C43" s="42" t="s">
        <v>29</v>
      </c>
      <c r="D43" s="46"/>
      <c r="E43" s="47"/>
      <c r="F43" s="42"/>
      <c r="G43" s="42"/>
      <c r="H43" s="42"/>
      <c r="I43" s="42"/>
      <c r="J43" s="42"/>
      <c r="K43" s="42"/>
      <c r="L43" s="42"/>
    </row>
    <row r="44" spans="1:12" s="45" customFormat="1" ht="6" customHeight="1">
      <c r="A44" s="41"/>
      <c r="B44" s="42"/>
      <c r="C44" s="42"/>
      <c r="D44" s="46"/>
      <c r="E44" s="47"/>
      <c r="F44" s="42"/>
      <c r="G44" s="42"/>
      <c r="H44" s="42"/>
      <c r="I44" s="42"/>
      <c r="J44" s="42"/>
      <c r="K44" s="42"/>
      <c r="L44" s="42"/>
    </row>
    <row r="45" spans="1:12" s="45" customFormat="1" ht="12.75">
      <c r="A45" s="41" t="s">
        <v>67</v>
      </c>
      <c r="B45" s="42"/>
      <c r="C45" s="42" t="s">
        <v>68</v>
      </c>
      <c r="D45" s="46"/>
      <c r="E45" s="47"/>
      <c r="F45" s="42"/>
      <c r="G45" s="42"/>
      <c r="H45" s="42"/>
      <c r="I45" s="42"/>
      <c r="J45" s="42"/>
      <c r="K45" s="42"/>
      <c r="L45" s="42"/>
    </row>
    <row r="46" spans="1:12" s="45" customFormat="1" ht="12.75">
      <c r="A46" s="41"/>
      <c r="B46" s="42"/>
      <c r="C46" s="42" t="s">
        <v>77</v>
      </c>
      <c r="D46" s="46"/>
      <c r="E46" s="47"/>
      <c r="F46" s="42"/>
      <c r="G46" s="42"/>
      <c r="H46" s="42"/>
      <c r="I46" s="42"/>
      <c r="J46" s="42"/>
      <c r="K46" s="42"/>
      <c r="L46" s="42"/>
    </row>
    <row r="47" spans="1:12" s="45" customFormat="1" ht="12.75">
      <c r="A47" s="41"/>
      <c r="B47" s="42"/>
      <c r="C47" s="42" t="s">
        <v>78</v>
      </c>
      <c r="D47" s="46"/>
      <c r="E47" s="47"/>
      <c r="F47" s="42"/>
      <c r="G47" s="42"/>
      <c r="H47" s="42"/>
      <c r="I47" s="42"/>
      <c r="J47" s="42"/>
      <c r="K47" s="42"/>
      <c r="L47" s="42"/>
    </row>
    <row r="48" spans="1:12" s="45" customFormat="1" ht="6" customHeight="1">
      <c r="A48" s="41"/>
      <c r="B48" s="42"/>
      <c r="C48" s="42"/>
      <c r="D48" s="46"/>
      <c r="E48" s="47"/>
      <c r="F48" s="42"/>
      <c r="G48" s="42"/>
      <c r="H48" s="42"/>
      <c r="I48" s="42"/>
      <c r="J48" s="42"/>
      <c r="K48" s="42"/>
      <c r="L48" s="42"/>
    </row>
    <row r="49" spans="1:12" s="45" customFormat="1" ht="12.75">
      <c r="A49" s="41" t="s">
        <v>30</v>
      </c>
      <c r="B49" s="42"/>
      <c r="C49" s="42" t="s">
        <v>69</v>
      </c>
      <c r="D49" s="46"/>
      <c r="E49" s="47"/>
      <c r="F49" s="42"/>
      <c r="G49" s="42"/>
      <c r="H49" s="42"/>
      <c r="I49" s="42"/>
      <c r="J49" s="42"/>
      <c r="K49" s="42"/>
      <c r="L49" s="42"/>
    </row>
    <row r="50" spans="1:12" s="45" customFormat="1" ht="12.75">
      <c r="A50" s="41"/>
      <c r="B50" s="42"/>
      <c r="C50" s="42" t="s">
        <v>70</v>
      </c>
      <c r="D50" s="46"/>
      <c r="E50" s="47"/>
      <c r="F50" s="42"/>
      <c r="G50" s="42"/>
      <c r="H50" s="42"/>
      <c r="I50" s="42"/>
      <c r="J50" s="42"/>
      <c r="K50" s="42"/>
      <c r="L50" s="42"/>
    </row>
    <row r="51" spans="1:12" s="45" customFormat="1" ht="6" customHeight="1">
      <c r="A51" s="41"/>
      <c r="B51" s="42"/>
      <c r="C51" s="42"/>
      <c r="D51" s="46"/>
      <c r="E51" s="47"/>
      <c r="F51" s="42"/>
      <c r="G51" s="42"/>
      <c r="H51" s="42"/>
      <c r="I51" s="42"/>
      <c r="J51" s="42"/>
      <c r="K51" s="42"/>
      <c r="L51" s="42"/>
    </row>
    <row r="52" spans="1:12" s="45" customFormat="1" ht="12.75">
      <c r="A52" s="41" t="s">
        <v>71</v>
      </c>
      <c r="B52" s="42"/>
      <c r="C52" s="42" t="s">
        <v>72</v>
      </c>
      <c r="D52" s="46"/>
      <c r="E52" s="47"/>
      <c r="F52" s="42"/>
      <c r="G52" s="42"/>
      <c r="H52" s="42"/>
      <c r="I52" s="42"/>
      <c r="J52" s="42"/>
      <c r="K52" s="42"/>
      <c r="L52" s="42"/>
    </row>
    <row r="53" spans="1:12" s="45" customFormat="1" ht="12.75">
      <c r="A53" s="48"/>
      <c r="B53" s="42"/>
      <c r="C53" s="42" t="s">
        <v>73</v>
      </c>
      <c r="D53" s="46"/>
      <c r="E53" s="47"/>
      <c r="F53" s="42"/>
      <c r="G53" s="42"/>
      <c r="H53" s="42"/>
      <c r="I53" s="42"/>
      <c r="J53" s="42"/>
      <c r="K53" s="42"/>
      <c r="L53" s="42"/>
    </row>
    <row r="54" spans="1:12" s="45" customFormat="1" ht="6" customHeight="1">
      <c r="A54" s="49"/>
      <c r="B54" s="50"/>
      <c r="C54" s="50"/>
      <c r="D54" s="50"/>
      <c r="E54" s="51"/>
      <c r="F54" s="50"/>
      <c r="G54" s="50"/>
      <c r="H54" s="50"/>
      <c r="I54" s="50"/>
      <c r="J54" s="50"/>
      <c r="K54" s="50"/>
      <c r="L54" s="50"/>
    </row>
    <row r="55" spans="1:12" ht="12.75">
      <c r="A55" s="28"/>
      <c r="B55" s="29"/>
      <c r="C55" s="29"/>
      <c r="D55" s="29"/>
      <c r="E55" s="29"/>
      <c r="F55" s="30"/>
      <c r="G55" s="29"/>
      <c r="H55" s="29"/>
      <c r="I55" s="29"/>
      <c r="J55" s="29"/>
      <c r="K55" s="29"/>
      <c r="L55" s="29"/>
    </row>
    <row r="56" spans="1:12" s="23" customFormat="1" ht="12.75">
      <c r="A56" s="123" t="s">
        <v>31</v>
      </c>
      <c r="B56" s="124"/>
      <c r="C56" s="124"/>
      <c r="D56" s="124"/>
      <c r="E56" s="124"/>
      <c r="F56" s="124"/>
      <c r="G56" s="124"/>
      <c r="H56" s="124"/>
      <c r="I56" s="124"/>
      <c r="J56" s="124"/>
      <c r="K56" s="124"/>
      <c r="L56" s="125"/>
    </row>
    <row r="57" ht="12.75">
      <c r="A57" s="24"/>
    </row>
    <row r="58" spans="1:12" ht="13.5">
      <c r="A58" s="31"/>
      <c r="G58" s="10" t="s">
        <v>9</v>
      </c>
      <c r="H58" s="32"/>
      <c r="I58" s="10" t="s">
        <v>74</v>
      </c>
      <c r="J58" s="10" t="s">
        <v>10</v>
      </c>
      <c r="K58" s="53" t="s">
        <v>75</v>
      </c>
      <c r="L58" s="10"/>
    </row>
    <row r="59" spans="1:12" ht="12.75">
      <c r="A59" s="34"/>
      <c r="G59" s="8" t="s">
        <v>17</v>
      </c>
      <c r="H59" s="35"/>
      <c r="I59" s="8" t="s">
        <v>18</v>
      </c>
      <c r="J59" s="8" t="s">
        <v>19</v>
      </c>
      <c r="K59" s="54" t="s">
        <v>76</v>
      </c>
      <c r="L59" s="15"/>
    </row>
    <row r="60" spans="2:12" ht="12.75">
      <c r="B60" s="38" t="s">
        <v>52</v>
      </c>
      <c r="C60" s="38"/>
      <c r="D60" s="38"/>
      <c r="E60" s="26"/>
      <c r="F60" s="27"/>
      <c r="G60" s="39">
        <v>0.39</v>
      </c>
      <c r="H60" s="26"/>
      <c r="I60" s="39">
        <v>0.41</v>
      </c>
      <c r="J60" s="39">
        <v>0.1</v>
      </c>
      <c r="K60" s="39">
        <v>0.1</v>
      </c>
      <c r="L60" s="39"/>
    </row>
    <row r="61" spans="2:12" ht="12.75">
      <c r="B61" s="38" t="s">
        <v>53</v>
      </c>
      <c r="C61" s="38"/>
      <c r="D61" s="38"/>
      <c r="E61" s="26"/>
      <c r="F61" s="27"/>
      <c r="G61" s="39">
        <v>0.41</v>
      </c>
      <c r="H61" s="26"/>
      <c r="I61" s="39">
        <v>0.41</v>
      </c>
      <c r="J61" s="39">
        <v>0.08</v>
      </c>
      <c r="K61" s="39">
        <v>0.1</v>
      </c>
      <c r="L61" s="39"/>
    </row>
    <row r="62" spans="2:12" ht="12.75">
      <c r="B62" s="38"/>
      <c r="C62" s="38"/>
      <c r="D62" s="38"/>
      <c r="E62" s="26"/>
      <c r="F62" s="27"/>
      <c r="G62" s="39"/>
      <c r="H62" s="26"/>
      <c r="I62" s="39"/>
      <c r="J62" s="39"/>
      <c r="K62" s="39"/>
      <c r="L62" s="39"/>
    </row>
    <row r="63" spans="1:12" s="23" customFormat="1" ht="12.75">
      <c r="A63" s="52" t="s">
        <v>64</v>
      </c>
      <c r="B63" s="38"/>
      <c r="C63" s="38"/>
      <c r="D63" s="26"/>
      <c r="E63" s="27"/>
      <c r="F63" s="39"/>
      <c r="G63" s="26"/>
      <c r="H63" s="39"/>
      <c r="I63" s="39"/>
      <c r="J63" s="39"/>
      <c r="K63" s="39"/>
      <c r="L63" s="37"/>
    </row>
    <row r="64" spans="1:12" s="23" customFormat="1" ht="12.75">
      <c r="A64" s="52" t="s">
        <v>65</v>
      </c>
      <c r="B64" s="38"/>
      <c r="C64" s="38"/>
      <c r="D64" s="26"/>
      <c r="E64" s="27"/>
      <c r="F64" s="39"/>
      <c r="G64" s="26"/>
      <c r="H64" s="39"/>
      <c r="I64" s="39"/>
      <c r="J64" s="39"/>
      <c r="K64" s="39"/>
      <c r="L64" s="37"/>
    </row>
    <row r="65" ht="12.75">
      <c r="A65" s="24"/>
    </row>
    <row r="66" spans="1:12" s="23" customFormat="1" ht="12.75">
      <c r="A66" s="126" t="s">
        <v>44</v>
      </c>
      <c r="B66" s="127"/>
      <c r="C66" s="127"/>
      <c r="D66" s="127"/>
      <c r="E66" s="127"/>
      <c r="F66" s="127"/>
      <c r="G66" s="127"/>
      <c r="H66" s="127"/>
      <c r="I66" s="127"/>
      <c r="J66" s="127"/>
      <c r="K66" s="127"/>
      <c r="L66" s="128"/>
    </row>
    <row r="67" spans="1:6" ht="12.75">
      <c r="A67" s="24"/>
      <c r="E67"/>
      <c r="F67" s="16"/>
    </row>
    <row r="68" spans="1:12" ht="51.75" customHeight="1">
      <c r="A68" s="129" t="s">
        <v>63</v>
      </c>
      <c r="B68" s="129"/>
      <c r="C68" s="129"/>
      <c r="D68" s="129"/>
      <c r="E68" s="129"/>
      <c r="F68" s="129"/>
      <c r="G68" s="129"/>
      <c r="H68" s="129"/>
      <c r="I68" s="129"/>
      <c r="J68" s="129"/>
      <c r="K68" s="129"/>
      <c r="L68" s="129"/>
    </row>
    <row r="69" spans="1:6" ht="12.75">
      <c r="A69" s="16"/>
      <c r="E69"/>
      <c r="F69" s="16"/>
    </row>
    <row r="70" spans="2:5" ht="12.75">
      <c r="B70" s="24" t="s">
        <v>45</v>
      </c>
      <c r="C70" s="24"/>
      <c r="D70" s="24"/>
      <c r="E70" s="16">
        <f>416006*0.9</f>
        <v>374405.4</v>
      </c>
    </row>
    <row r="71" spans="2:5" ht="12.75">
      <c r="B71" s="24" t="s">
        <v>46</v>
      </c>
      <c r="C71" s="24"/>
      <c r="D71" s="24"/>
      <c r="E71" s="16">
        <f>906436*0.9</f>
        <v>815792.4</v>
      </c>
    </row>
    <row r="72" spans="2:5" ht="12.75">
      <c r="B72" s="16" t="s">
        <v>47</v>
      </c>
      <c r="E72" s="16">
        <f>440814*0.9</f>
        <v>396732.60000000003</v>
      </c>
    </row>
    <row r="73" ht="12.75">
      <c r="E73" s="16" t="s">
        <v>32</v>
      </c>
    </row>
    <row r="75" ht="12.75">
      <c r="A75" s="24" t="s">
        <v>34</v>
      </c>
    </row>
  </sheetData>
  <sheetProtection/>
  <mergeCells count="11">
    <mergeCell ref="A68:L68"/>
    <mergeCell ref="A31:L31"/>
    <mergeCell ref="A56:L56"/>
    <mergeCell ref="I10:L10"/>
    <mergeCell ref="A8:L8"/>
    <mergeCell ref="A1:L1"/>
    <mergeCell ref="A2:L2"/>
    <mergeCell ref="A3:L3"/>
    <mergeCell ref="A5:L5"/>
    <mergeCell ref="A4:L4"/>
    <mergeCell ref="A66:L66"/>
  </mergeCells>
  <hyperlinks>
    <hyperlink ref="A4" r:id="rId1" display="www.monticellogamingandraceway.com"/>
  </hyperlinks>
  <printOptions horizontalCentered="1"/>
  <pageMargins left="0.25" right="0.25" top="0.75" bottom="0.5" header="0.5" footer="0.5"/>
  <pageSetup fitToHeight="1" fitToWidth="1" horizontalDpi="600" verticalDpi="600" orientation="portrait" scale="76" r:id="rId3"/>
  <drawing r:id="rId2"/>
</worksheet>
</file>

<file path=xl/worksheets/sheet11.xml><?xml version="1.0" encoding="utf-8"?>
<worksheet xmlns="http://schemas.openxmlformats.org/spreadsheetml/2006/main" xmlns:r="http://schemas.openxmlformats.org/officeDocument/2006/relationships">
  <sheetPr>
    <pageSetUpPr fitToPage="1"/>
  </sheetPr>
  <dimension ref="A1:M72"/>
  <sheetViews>
    <sheetView zoomScalePageLayoutView="0" workbookViewId="0" topLeftCell="A1">
      <selection activeCell="A1" sqref="A1:L1"/>
    </sheetView>
  </sheetViews>
  <sheetFormatPr defaultColWidth="9.140625" defaultRowHeight="12.75"/>
  <cols>
    <col min="1" max="1" width="9.28125" style="3" customWidth="1"/>
    <col min="2" max="2" width="14.140625" style="16" customWidth="1"/>
    <col min="3" max="3" width="10.8515625" style="16" customWidth="1"/>
    <col min="4" max="4" width="14.140625" style="16" customWidth="1"/>
    <col min="5" max="5" width="12.7109375" style="16" customWidth="1"/>
    <col min="6" max="6" width="8.8515625" style="17" customWidth="1"/>
    <col min="7" max="7" width="10.28125" style="16" customWidth="1"/>
    <col min="8" max="8" width="1.421875" style="16" customWidth="1"/>
    <col min="9" max="10" width="11.7109375" style="16" bestFit="1" customWidth="1"/>
    <col min="11" max="12" width="12.8515625" style="16" bestFit="1" customWidth="1"/>
    <col min="13" max="13" width="12.7109375" style="0" customWidth="1"/>
  </cols>
  <sheetData>
    <row r="1" spans="1:12" ht="17.25">
      <c r="A1" s="130" t="s">
        <v>55</v>
      </c>
      <c r="B1" s="130"/>
      <c r="C1" s="130"/>
      <c r="D1" s="130"/>
      <c r="E1" s="130"/>
      <c r="F1" s="130"/>
      <c r="G1" s="130"/>
      <c r="H1" s="130"/>
      <c r="I1" s="130"/>
      <c r="J1" s="130"/>
      <c r="K1" s="130"/>
      <c r="L1" s="130"/>
    </row>
    <row r="2" spans="1:12" ht="15">
      <c r="A2" s="131" t="s">
        <v>0</v>
      </c>
      <c r="B2" s="131"/>
      <c r="C2" s="131"/>
      <c r="D2" s="131"/>
      <c r="E2" s="131"/>
      <c r="F2" s="131"/>
      <c r="G2" s="131"/>
      <c r="H2" s="131"/>
      <c r="I2" s="131"/>
      <c r="J2" s="131"/>
      <c r="K2" s="131"/>
      <c r="L2" s="131"/>
    </row>
    <row r="3" spans="1:12" s="1" customFormat="1" ht="15">
      <c r="A3" s="131" t="s">
        <v>1</v>
      </c>
      <c r="B3" s="131"/>
      <c r="C3" s="131"/>
      <c r="D3" s="131"/>
      <c r="E3" s="131"/>
      <c r="F3" s="131"/>
      <c r="G3" s="131"/>
      <c r="H3" s="131"/>
      <c r="I3" s="131"/>
      <c r="J3" s="131"/>
      <c r="K3" s="131"/>
      <c r="L3" s="131"/>
    </row>
    <row r="4" spans="1:12" s="1" customFormat="1" ht="13.5">
      <c r="A4" s="133" t="s">
        <v>2</v>
      </c>
      <c r="B4" s="133"/>
      <c r="C4" s="133"/>
      <c r="D4" s="133"/>
      <c r="E4" s="133"/>
      <c r="F4" s="133"/>
      <c r="G4" s="133"/>
      <c r="H4" s="133"/>
      <c r="I4" s="133"/>
      <c r="J4" s="133"/>
      <c r="K4" s="133"/>
      <c r="L4" s="133"/>
    </row>
    <row r="5" spans="1:12" s="1" customFormat="1" ht="13.5">
      <c r="A5" s="132" t="s">
        <v>3</v>
      </c>
      <c r="B5" s="132"/>
      <c r="C5" s="132"/>
      <c r="D5" s="132"/>
      <c r="E5" s="132"/>
      <c r="F5" s="132"/>
      <c r="G5" s="132"/>
      <c r="H5" s="132"/>
      <c r="I5" s="132"/>
      <c r="J5" s="132"/>
      <c r="K5" s="132"/>
      <c r="L5" s="132"/>
    </row>
    <row r="6" spans="1:12" s="1" customFormat="1" ht="13.5">
      <c r="A6" s="2"/>
      <c r="B6" s="2"/>
      <c r="C6" s="2"/>
      <c r="D6" s="2"/>
      <c r="E6" s="2"/>
      <c r="F6" s="2"/>
      <c r="G6" s="2"/>
      <c r="H6" s="2"/>
      <c r="I6" s="2"/>
      <c r="J6" s="2"/>
      <c r="K6" s="2"/>
      <c r="L6" s="2"/>
    </row>
    <row r="7" spans="1:12" s="1" customFormat="1" ht="12.75">
      <c r="A7" s="3"/>
      <c r="B7" s="4"/>
      <c r="C7" s="4"/>
      <c r="D7" s="4"/>
      <c r="E7" s="5"/>
      <c r="F7" s="6"/>
      <c r="G7" s="5"/>
      <c r="H7" s="5"/>
      <c r="I7" s="5"/>
      <c r="J7" s="5"/>
      <c r="K7" s="5"/>
      <c r="L7" s="5"/>
    </row>
    <row r="8" spans="1:12" s="7" customFormat="1" ht="14.25" customHeight="1">
      <c r="A8" s="123" t="s">
        <v>56</v>
      </c>
      <c r="B8" s="124"/>
      <c r="C8" s="124"/>
      <c r="D8" s="124"/>
      <c r="E8" s="124"/>
      <c r="F8" s="124"/>
      <c r="G8" s="124"/>
      <c r="H8" s="124"/>
      <c r="I8" s="124"/>
      <c r="J8" s="124"/>
      <c r="K8" s="124"/>
      <c r="L8" s="125"/>
    </row>
    <row r="9" spans="1:12" s="1" customFormat="1" ht="9" customHeight="1">
      <c r="A9" s="3"/>
      <c r="B9" s="4"/>
      <c r="C9" s="4"/>
      <c r="D9" s="4"/>
      <c r="E9" s="5"/>
      <c r="F9" s="6"/>
      <c r="G9" s="5"/>
      <c r="H9" s="5"/>
      <c r="I9" s="5"/>
      <c r="J9" s="5"/>
      <c r="K9" s="5"/>
      <c r="L9" s="5"/>
    </row>
    <row r="10" spans="1:12" s="1" customFormat="1" ht="12.75">
      <c r="A10" s="3"/>
      <c r="B10" s="5"/>
      <c r="C10" s="5"/>
      <c r="D10" s="5"/>
      <c r="E10" s="5"/>
      <c r="F10" s="6"/>
      <c r="G10" s="5"/>
      <c r="H10" s="5"/>
      <c r="I10" s="122" t="s">
        <v>5</v>
      </c>
      <c r="J10" s="122"/>
      <c r="K10" s="122"/>
      <c r="L10" s="122"/>
    </row>
    <row r="11" spans="1:12" s="1" customFormat="1" ht="12" customHeight="1">
      <c r="A11" s="3"/>
      <c r="B11" s="5"/>
      <c r="C11" s="10"/>
      <c r="D11" s="5"/>
      <c r="E11" s="5"/>
      <c r="F11" s="6"/>
      <c r="G11" s="5"/>
      <c r="H11" s="5"/>
      <c r="I11" s="5"/>
      <c r="J11" s="5"/>
      <c r="K11" s="5"/>
      <c r="L11" s="5"/>
    </row>
    <row r="12" spans="1:12" s="12" customFormat="1" ht="12">
      <c r="A12" s="9"/>
      <c r="B12" s="10" t="s">
        <v>6</v>
      </c>
      <c r="C12" s="10" t="s">
        <v>61</v>
      </c>
      <c r="D12" s="10" t="s">
        <v>6</v>
      </c>
      <c r="E12" s="10"/>
      <c r="F12" s="11" t="s">
        <v>7</v>
      </c>
      <c r="G12" s="10" t="s">
        <v>8</v>
      </c>
      <c r="H12" s="10"/>
      <c r="I12" s="10" t="s">
        <v>9</v>
      </c>
      <c r="J12" s="10" t="s">
        <v>74</v>
      </c>
      <c r="K12" s="10" t="s">
        <v>10</v>
      </c>
      <c r="L12" s="10" t="s">
        <v>75</v>
      </c>
    </row>
    <row r="13" spans="1:12" s="12" customFormat="1" ht="12">
      <c r="A13" s="13" t="s">
        <v>11</v>
      </c>
      <c r="B13" s="8" t="s">
        <v>12</v>
      </c>
      <c r="C13" s="8" t="s">
        <v>19</v>
      </c>
      <c r="D13" s="8" t="s">
        <v>13</v>
      </c>
      <c r="E13" s="8" t="s">
        <v>14</v>
      </c>
      <c r="F13" s="14" t="s">
        <v>15</v>
      </c>
      <c r="G13" s="8" t="s">
        <v>16</v>
      </c>
      <c r="H13" s="15"/>
      <c r="I13" s="8" t="s">
        <v>17</v>
      </c>
      <c r="J13" s="8" t="s">
        <v>18</v>
      </c>
      <c r="K13" s="8" t="s">
        <v>19</v>
      </c>
      <c r="L13" s="8" t="s">
        <v>76</v>
      </c>
    </row>
    <row r="15" spans="1:12" ht="12.75">
      <c r="A15" s="3">
        <v>39904</v>
      </c>
      <c r="B15" s="16">
        <v>54611563.6</v>
      </c>
      <c r="C15" s="16">
        <v>0</v>
      </c>
      <c r="D15" s="16">
        <f aca="true" t="shared" si="0" ref="D15:D26">B15-C15-E15</f>
        <v>50336232.77</v>
      </c>
      <c r="E15" s="16">
        <v>4275330.83</v>
      </c>
      <c r="F15" s="17">
        <f>47610/30</f>
        <v>1587</v>
      </c>
      <c r="G15" s="16">
        <f>E15/F15/30</f>
        <v>89.79900924175594</v>
      </c>
      <c r="I15" s="16">
        <v>1624625.73</v>
      </c>
      <c r="J15" s="16">
        <v>1795638.98</v>
      </c>
      <c r="K15" s="16">
        <v>427533.13</v>
      </c>
      <c r="L15" s="16">
        <v>427533.13</v>
      </c>
    </row>
    <row r="16" spans="1:12" ht="12.75">
      <c r="A16" s="3">
        <v>39934</v>
      </c>
      <c r="B16" s="16">
        <v>64974454.21</v>
      </c>
      <c r="C16" s="16">
        <v>0</v>
      </c>
      <c r="D16" s="16">
        <f t="shared" si="0"/>
        <v>59738977.29</v>
      </c>
      <c r="E16" s="16">
        <v>5235476.92</v>
      </c>
      <c r="F16" s="17">
        <f>49197/31</f>
        <v>1587</v>
      </c>
      <c r="G16" s="16">
        <f>E16/F16/31</f>
        <v>106.41862146065816</v>
      </c>
      <c r="I16" s="16">
        <v>1989481.25</v>
      </c>
      <c r="J16" s="16">
        <v>2198900.31</v>
      </c>
      <c r="K16" s="16">
        <v>523547.69</v>
      </c>
      <c r="L16" s="16">
        <v>523547.69</v>
      </c>
    </row>
    <row r="17" spans="1:12" ht="12.75">
      <c r="A17" s="3">
        <v>39965</v>
      </c>
      <c r="B17" s="16">
        <v>55739639.56</v>
      </c>
      <c r="C17" s="16">
        <v>0</v>
      </c>
      <c r="D17" s="16">
        <f t="shared" si="0"/>
        <v>51277589.67</v>
      </c>
      <c r="E17" s="16">
        <v>4462049.89</v>
      </c>
      <c r="F17" s="17">
        <f>47610/30</f>
        <v>1587</v>
      </c>
      <c r="G17" s="16">
        <f>E17/F17/30</f>
        <v>93.72085465238395</v>
      </c>
      <c r="I17" s="16">
        <v>1695578.95</v>
      </c>
      <c r="J17" s="16">
        <v>1874060.95</v>
      </c>
      <c r="K17" s="16">
        <v>446205</v>
      </c>
      <c r="L17" s="16">
        <v>446205</v>
      </c>
    </row>
    <row r="18" spans="1:12" ht="12.75">
      <c r="A18" s="3">
        <v>39995</v>
      </c>
      <c r="B18" s="16">
        <v>71123385.03</v>
      </c>
      <c r="C18" s="16">
        <v>0</v>
      </c>
      <c r="D18" s="16">
        <f t="shared" si="0"/>
        <v>65507013.910000004</v>
      </c>
      <c r="E18" s="16">
        <v>5616371.12</v>
      </c>
      <c r="F18" s="17">
        <f>48277/31</f>
        <v>1557.3225806451612</v>
      </c>
      <c r="G18" s="16">
        <f>E18/F18/31</f>
        <v>116.33637384261657</v>
      </c>
      <c r="I18" s="16">
        <v>2134221.03</v>
      </c>
      <c r="J18" s="16">
        <v>2358875.385</v>
      </c>
      <c r="K18" s="16">
        <v>561637.13</v>
      </c>
      <c r="L18" s="16">
        <v>561637.13</v>
      </c>
    </row>
    <row r="19" spans="1:12" ht="12.75">
      <c r="A19" s="3">
        <v>40026</v>
      </c>
      <c r="B19" s="16">
        <v>70642089.24</v>
      </c>
      <c r="C19" s="16">
        <v>252401.87</v>
      </c>
      <c r="D19" s="16">
        <f t="shared" si="0"/>
        <v>64824999.06999999</v>
      </c>
      <c r="E19" s="16">
        <v>5564688.3</v>
      </c>
      <c r="F19" s="17">
        <f>39936/31</f>
        <v>1288.258064516129</v>
      </c>
      <c r="G19" s="16">
        <f>E19/F19/31</f>
        <v>139.34015174278846</v>
      </c>
      <c r="I19" s="16">
        <v>2114581.58</v>
      </c>
      <c r="J19" s="16">
        <v>2337169.09</v>
      </c>
      <c r="K19" s="16">
        <v>556468.83</v>
      </c>
      <c r="L19" s="16">
        <v>556468.83</v>
      </c>
    </row>
    <row r="20" spans="1:12" ht="12.75">
      <c r="A20" s="3">
        <v>40057</v>
      </c>
      <c r="B20" s="16">
        <v>64202162.08</v>
      </c>
      <c r="C20" s="16">
        <v>545467.43</v>
      </c>
      <c r="D20" s="16">
        <f t="shared" si="0"/>
        <v>59059119.71</v>
      </c>
      <c r="E20" s="16">
        <v>4597574.94</v>
      </c>
      <c r="F20" s="17">
        <f>35369/30</f>
        <v>1178.9666666666667</v>
      </c>
      <c r="G20" s="16">
        <f>E20/F20/30</f>
        <v>129.98883033164637</v>
      </c>
      <c r="I20" s="16">
        <v>1747078.348</v>
      </c>
      <c r="J20" s="16">
        <v>1930981.46</v>
      </c>
      <c r="K20" s="16">
        <v>459757.52</v>
      </c>
      <c r="L20" s="16">
        <v>459757.52</v>
      </c>
    </row>
    <row r="21" spans="1:12" ht="12.75">
      <c r="A21" s="3">
        <v>40087</v>
      </c>
      <c r="B21" s="16">
        <v>62588876.48</v>
      </c>
      <c r="C21" s="16">
        <v>499309.02</v>
      </c>
      <c r="D21" s="16">
        <f t="shared" si="0"/>
        <v>57649367.779999994</v>
      </c>
      <c r="E21" s="16">
        <v>4440199.68</v>
      </c>
      <c r="F21" s="17">
        <f>33790/31</f>
        <v>1090</v>
      </c>
      <c r="G21" s="16">
        <f>E21/F21/31</f>
        <v>131.4057318733353</v>
      </c>
      <c r="I21" s="16">
        <v>1687275.88</v>
      </c>
      <c r="J21" s="16">
        <v>1864883.86</v>
      </c>
      <c r="K21" s="16">
        <v>444019.99</v>
      </c>
      <c r="L21" s="16">
        <v>444019.99</v>
      </c>
    </row>
    <row r="22" spans="1:12" ht="12.75">
      <c r="A22" s="3">
        <v>40118</v>
      </c>
      <c r="B22" s="16">
        <v>59090043.71</v>
      </c>
      <c r="C22" s="16">
        <v>610506.69</v>
      </c>
      <c r="D22" s="16">
        <f t="shared" si="0"/>
        <v>54504599.34</v>
      </c>
      <c r="E22" s="16">
        <v>3974937.68</v>
      </c>
      <c r="F22" s="17">
        <v>1090</v>
      </c>
      <c r="G22" s="16">
        <f>E22/F22/30</f>
        <v>121.55772721712539</v>
      </c>
      <c r="I22" s="16">
        <v>1510476.3</v>
      </c>
      <c r="J22" s="16">
        <v>1669473.82</v>
      </c>
      <c r="K22" s="16">
        <v>397493.8</v>
      </c>
      <c r="L22" s="16">
        <v>397493.79</v>
      </c>
    </row>
    <row r="23" spans="1:12" ht="12.75">
      <c r="A23" s="3">
        <v>40148</v>
      </c>
      <c r="B23" s="16">
        <v>50489104.16</v>
      </c>
      <c r="C23" s="16">
        <v>608364.4</v>
      </c>
      <c r="D23" s="16">
        <f t="shared" si="0"/>
        <v>46495068.75</v>
      </c>
      <c r="E23" s="16">
        <v>3385671.01</v>
      </c>
      <c r="F23" s="17">
        <f>33790/31</f>
        <v>1090</v>
      </c>
      <c r="G23" s="16">
        <f>E23/F23/31</f>
        <v>100.19742556969517</v>
      </c>
      <c r="I23" s="16">
        <v>1286554.96</v>
      </c>
      <c r="J23" s="16">
        <v>1421981.84</v>
      </c>
      <c r="K23" s="16">
        <v>338567.1</v>
      </c>
      <c r="L23" s="16">
        <v>338567.1</v>
      </c>
    </row>
    <row r="24" spans="1:12" ht="12.75">
      <c r="A24" s="3">
        <v>40179</v>
      </c>
      <c r="B24" s="16">
        <v>59435328.51</v>
      </c>
      <c r="C24" s="16">
        <v>547307.53</v>
      </c>
      <c r="D24" s="16">
        <f t="shared" si="0"/>
        <v>54833462.06999999</v>
      </c>
      <c r="E24" s="16">
        <v>4054558.91</v>
      </c>
      <c r="F24" s="17">
        <f>33790/31</f>
        <v>1090</v>
      </c>
      <c r="G24" s="16">
        <f>E24/F24/31</f>
        <v>119.99286504883102</v>
      </c>
      <c r="I24" s="16">
        <v>1540732.4</v>
      </c>
      <c r="J24" s="16">
        <v>1702914.77</v>
      </c>
      <c r="K24" s="16">
        <v>405455.92</v>
      </c>
      <c r="L24" s="16">
        <v>405455.92</v>
      </c>
    </row>
    <row r="25" spans="1:12" ht="12.75">
      <c r="A25" s="3">
        <v>40210</v>
      </c>
      <c r="B25" s="16">
        <v>50757383.96</v>
      </c>
      <c r="C25" s="16">
        <v>362207.37</v>
      </c>
      <c r="D25" s="16">
        <f t="shared" si="0"/>
        <v>46799366.28</v>
      </c>
      <c r="E25" s="16">
        <v>3595810.31</v>
      </c>
      <c r="F25" s="17">
        <f>33790/31</f>
        <v>1090</v>
      </c>
      <c r="G25" s="16">
        <f>E25/F25/28</f>
        <v>117.8181621887287</v>
      </c>
      <c r="I25" s="16">
        <v>1366407.95</v>
      </c>
      <c r="J25" s="16">
        <v>1510240.34</v>
      </c>
      <c r="K25" s="16">
        <v>359581.04</v>
      </c>
      <c r="L25" s="16">
        <v>359581.04</v>
      </c>
    </row>
    <row r="26" spans="1:12" ht="12.75">
      <c r="A26" s="3">
        <v>40238</v>
      </c>
      <c r="B26" s="16">
        <v>63629137</v>
      </c>
      <c r="C26" s="16">
        <f>434032.57-17720-55715</f>
        <v>360597.57</v>
      </c>
      <c r="D26" s="16">
        <f t="shared" si="0"/>
        <v>58562967.019999996</v>
      </c>
      <c r="E26" s="16">
        <v>4705572.41</v>
      </c>
      <c r="F26" s="17">
        <f>33790/31</f>
        <v>1090</v>
      </c>
      <c r="G26" s="16">
        <f>E26/F26/31</f>
        <v>139.25931962118972</v>
      </c>
      <c r="I26" s="16">
        <v>1788117.5</v>
      </c>
      <c r="J26" s="16">
        <v>1976340.43</v>
      </c>
      <c r="K26" s="16">
        <v>470557.28</v>
      </c>
      <c r="L26" s="16">
        <v>470557.28</v>
      </c>
    </row>
    <row r="27" spans="1:12" ht="13.5" thickBot="1">
      <c r="A27" s="3" t="s">
        <v>20</v>
      </c>
      <c r="B27" s="18">
        <f>SUM(B15:B26)</f>
        <v>727283167.54</v>
      </c>
      <c r="C27" s="18">
        <f>SUM(C15:C26)</f>
        <v>3786161.8800000004</v>
      </c>
      <c r="D27" s="18">
        <f>SUM(D15:D26)</f>
        <v>669588763.6599998</v>
      </c>
      <c r="E27" s="18">
        <f>SUM(E15:E26)</f>
        <v>53908242</v>
      </c>
      <c r="I27" s="18">
        <f>SUM(I15:I26)</f>
        <v>20485131.878</v>
      </c>
      <c r="J27" s="18">
        <f>SUM(J15:J26)</f>
        <v>22641461.235</v>
      </c>
      <c r="K27" s="18">
        <f>SUM(K15:K26)</f>
        <v>5390824.430000001</v>
      </c>
      <c r="L27" s="18">
        <f>SUM(L15:L26)</f>
        <v>5390824.420000001</v>
      </c>
    </row>
    <row r="28" spans="2:12" ht="10.5" customHeight="1" thickTop="1">
      <c r="B28" s="19"/>
      <c r="C28" s="19"/>
      <c r="D28" s="19"/>
      <c r="E28" s="19"/>
      <c r="I28" s="19"/>
      <c r="J28" s="19"/>
      <c r="K28" s="19"/>
      <c r="L28" s="19"/>
    </row>
    <row r="29" spans="1:12" s="22" customFormat="1" ht="12.75">
      <c r="A29" s="20"/>
      <c r="B29" s="21"/>
      <c r="C29" s="21">
        <f>C27/B27</f>
        <v>0.005205897852423162</v>
      </c>
      <c r="D29" s="21">
        <f>D27/B27</f>
        <v>0.9206713334571613</v>
      </c>
      <c r="E29" s="21">
        <f>E27/B27</f>
        <v>0.07412276869041534</v>
      </c>
      <c r="I29" s="21">
        <f>I27/$E$27</f>
        <v>0.37999999847889676</v>
      </c>
      <c r="J29" s="21">
        <f>J27/$E$27</f>
        <v>0.41999999248723413</v>
      </c>
      <c r="K29" s="21">
        <f>K27/$E$27</f>
        <v>0.10000000426650901</v>
      </c>
      <c r="L29" s="21">
        <f>L27/$E$27</f>
        <v>0.10000000408100863</v>
      </c>
    </row>
    <row r="31" spans="1:12" s="23" customFormat="1" ht="12.75">
      <c r="A31" s="123" t="s">
        <v>21</v>
      </c>
      <c r="B31" s="124"/>
      <c r="C31" s="124"/>
      <c r="D31" s="124"/>
      <c r="E31" s="124"/>
      <c r="F31" s="124"/>
      <c r="G31" s="124"/>
      <c r="H31" s="124"/>
      <c r="I31" s="124"/>
      <c r="J31" s="124"/>
      <c r="K31" s="124"/>
      <c r="L31" s="125"/>
    </row>
    <row r="32" ht="12.75">
      <c r="A32" s="24"/>
    </row>
    <row r="33" spans="1:12" s="45" customFormat="1" ht="12.75" customHeight="1">
      <c r="A33" s="41" t="s">
        <v>22</v>
      </c>
      <c r="B33" s="42"/>
      <c r="C33" s="43" t="s">
        <v>86</v>
      </c>
      <c r="D33" s="44"/>
      <c r="E33" s="44"/>
      <c r="F33" s="44"/>
      <c r="G33" s="44"/>
      <c r="H33" s="44"/>
      <c r="I33" s="44"/>
      <c r="J33" s="44"/>
      <c r="K33" s="44"/>
      <c r="L33" s="44"/>
    </row>
    <row r="34" spans="1:12" s="45" customFormat="1" ht="12.75" customHeight="1">
      <c r="A34" s="41"/>
      <c r="B34" s="42"/>
      <c r="C34" s="43" t="s">
        <v>87</v>
      </c>
      <c r="D34" s="44"/>
      <c r="E34" s="44"/>
      <c r="F34" s="44"/>
      <c r="G34" s="44"/>
      <c r="H34" s="44"/>
      <c r="I34" s="44"/>
      <c r="J34" s="44"/>
      <c r="K34" s="44"/>
      <c r="L34" s="44"/>
    </row>
    <row r="35" spans="1:13" ht="6" customHeight="1">
      <c r="A35" s="25"/>
      <c r="B35" s="26"/>
      <c r="C35" s="26"/>
      <c r="D35" s="26"/>
      <c r="F35" s="26"/>
      <c r="G35" s="26"/>
      <c r="H35" s="26"/>
      <c r="I35" s="26"/>
      <c r="J35" s="26"/>
      <c r="K35" s="26"/>
      <c r="L35" s="26"/>
      <c r="M35" s="26"/>
    </row>
    <row r="36" spans="1:13" ht="12.75">
      <c r="A36" s="25" t="s">
        <v>89</v>
      </c>
      <c r="B36" s="26"/>
      <c r="C36" s="26" t="s">
        <v>58</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2" s="45" customFormat="1" ht="12.75">
      <c r="A38" s="41" t="s">
        <v>23</v>
      </c>
      <c r="B38" s="42"/>
      <c r="C38" s="43" t="s">
        <v>24</v>
      </c>
      <c r="D38" s="46"/>
      <c r="E38" s="43"/>
      <c r="F38" s="43"/>
      <c r="G38" s="43"/>
      <c r="H38" s="43"/>
      <c r="I38" s="42"/>
      <c r="J38" s="42"/>
      <c r="K38" s="42"/>
      <c r="L38" s="42"/>
    </row>
    <row r="39" spans="1:12" s="45" customFormat="1" ht="6" customHeight="1">
      <c r="A39" s="41"/>
      <c r="B39" s="42"/>
      <c r="C39" s="43"/>
      <c r="D39" s="46"/>
      <c r="E39" s="43"/>
      <c r="F39" s="43"/>
      <c r="G39" s="43"/>
      <c r="H39" s="43"/>
      <c r="I39" s="42"/>
      <c r="J39" s="42"/>
      <c r="K39" s="42"/>
      <c r="L39" s="42"/>
    </row>
    <row r="40" spans="1:12" s="45" customFormat="1" ht="12.75">
      <c r="A40" s="41" t="s">
        <v>25</v>
      </c>
      <c r="B40" s="42"/>
      <c r="C40" s="42" t="s">
        <v>59</v>
      </c>
      <c r="D40" s="46"/>
      <c r="E40" s="47"/>
      <c r="F40" s="42"/>
      <c r="G40" s="42"/>
      <c r="H40" s="42"/>
      <c r="I40" s="42"/>
      <c r="J40" s="42"/>
      <c r="K40" s="42"/>
      <c r="L40" s="42"/>
    </row>
    <row r="41" spans="1:12" s="45" customFormat="1" ht="12.75">
      <c r="A41" s="41"/>
      <c r="B41" s="42"/>
      <c r="C41" s="42" t="s">
        <v>60</v>
      </c>
      <c r="D41" s="46"/>
      <c r="E41" s="47"/>
      <c r="F41" s="42"/>
      <c r="G41" s="42"/>
      <c r="H41" s="42"/>
      <c r="I41" s="42"/>
      <c r="J41" s="42"/>
      <c r="K41" s="42"/>
      <c r="L41" s="42"/>
    </row>
    <row r="42" spans="1:12" s="45" customFormat="1" ht="6" customHeight="1">
      <c r="A42" s="41"/>
      <c r="B42" s="42"/>
      <c r="C42" s="42"/>
      <c r="D42" s="46"/>
      <c r="E42" s="47"/>
      <c r="F42" s="42"/>
      <c r="G42" s="42"/>
      <c r="H42" s="42"/>
      <c r="I42" s="42"/>
      <c r="J42" s="42"/>
      <c r="K42" s="42"/>
      <c r="L42" s="42"/>
    </row>
    <row r="43" spans="1:12" s="45" customFormat="1" ht="12.75">
      <c r="A43" s="41" t="s">
        <v>28</v>
      </c>
      <c r="B43" s="42"/>
      <c r="C43" s="42" t="s">
        <v>29</v>
      </c>
      <c r="D43" s="46"/>
      <c r="E43" s="47"/>
      <c r="F43" s="42"/>
      <c r="G43" s="42"/>
      <c r="H43" s="42"/>
      <c r="I43" s="42"/>
      <c r="J43" s="42"/>
      <c r="K43" s="42"/>
      <c r="L43" s="42"/>
    </row>
    <row r="44" spans="1:12" s="45" customFormat="1" ht="6" customHeight="1">
      <c r="A44" s="41"/>
      <c r="B44" s="42"/>
      <c r="C44" s="42"/>
      <c r="D44" s="46"/>
      <c r="E44" s="47"/>
      <c r="F44" s="42"/>
      <c r="G44" s="42"/>
      <c r="H44" s="42"/>
      <c r="I44" s="42"/>
      <c r="J44" s="42"/>
      <c r="K44" s="42"/>
      <c r="L44" s="42"/>
    </row>
    <row r="45" spans="1:12" s="45" customFormat="1" ht="12.75">
      <c r="A45" s="41" t="s">
        <v>67</v>
      </c>
      <c r="B45" s="42"/>
      <c r="C45" s="42" t="s">
        <v>68</v>
      </c>
      <c r="D45" s="46"/>
      <c r="E45" s="47"/>
      <c r="F45" s="42"/>
      <c r="G45" s="42"/>
      <c r="H45" s="42"/>
      <c r="I45" s="42"/>
      <c r="J45" s="42"/>
      <c r="K45" s="42"/>
      <c r="L45" s="42"/>
    </row>
    <row r="46" spans="1:12" s="45" customFormat="1" ht="12.75">
      <c r="A46" s="41"/>
      <c r="B46" s="42"/>
      <c r="C46" s="42" t="s">
        <v>77</v>
      </c>
      <c r="D46" s="46"/>
      <c r="E46" s="47"/>
      <c r="F46" s="42"/>
      <c r="G46" s="42"/>
      <c r="H46" s="42"/>
      <c r="I46" s="42"/>
      <c r="J46" s="42"/>
      <c r="K46" s="42"/>
      <c r="L46" s="42"/>
    </row>
    <row r="47" spans="1:12" s="45" customFormat="1" ht="12.75">
      <c r="A47" s="41"/>
      <c r="B47" s="42"/>
      <c r="C47" s="42" t="s">
        <v>78</v>
      </c>
      <c r="D47" s="46"/>
      <c r="E47" s="47"/>
      <c r="F47" s="42"/>
      <c r="G47" s="42"/>
      <c r="H47" s="42"/>
      <c r="I47" s="42"/>
      <c r="J47" s="42"/>
      <c r="K47" s="42"/>
      <c r="L47" s="42"/>
    </row>
    <row r="48" spans="1:12" s="45" customFormat="1" ht="6" customHeight="1">
      <c r="A48" s="41"/>
      <c r="B48" s="42"/>
      <c r="C48" s="42"/>
      <c r="D48" s="46"/>
      <c r="E48" s="47"/>
      <c r="F48" s="42"/>
      <c r="G48" s="42"/>
      <c r="H48" s="42"/>
      <c r="I48" s="42"/>
      <c r="J48" s="42"/>
      <c r="K48" s="42"/>
      <c r="L48" s="42"/>
    </row>
    <row r="49" spans="1:12" s="45" customFormat="1" ht="12.75">
      <c r="A49" s="41" t="s">
        <v>30</v>
      </c>
      <c r="B49" s="42"/>
      <c r="C49" s="42" t="s">
        <v>69</v>
      </c>
      <c r="D49" s="46"/>
      <c r="E49" s="47"/>
      <c r="F49" s="42"/>
      <c r="G49" s="42"/>
      <c r="H49" s="42"/>
      <c r="I49" s="42"/>
      <c r="J49" s="42"/>
      <c r="K49" s="42"/>
      <c r="L49" s="42"/>
    </row>
    <row r="50" spans="1:12" s="45" customFormat="1" ht="12.75">
      <c r="A50" s="41"/>
      <c r="B50" s="42"/>
      <c r="C50" s="42" t="s">
        <v>70</v>
      </c>
      <c r="D50" s="46"/>
      <c r="E50" s="47"/>
      <c r="F50" s="42"/>
      <c r="G50" s="42"/>
      <c r="H50" s="42"/>
      <c r="I50" s="42"/>
      <c r="J50" s="42"/>
      <c r="K50" s="42"/>
      <c r="L50" s="42"/>
    </row>
    <row r="51" spans="1:12" s="45" customFormat="1" ht="6" customHeight="1">
      <c r="A51" s="41"/>
      <c r="B51" s="42"/>
      <c r="C51" s="42"/>
      <c r="D51" s="46"/>
      <c r="E51" s="47"/>
      <c r="F51" s="42"/>
      <c r="G51" s="42"/>
      <c r="H51" s="42"/>
      <c r="I51" s="42"/>
      <c r="J51" s="42"/>
      <c r="K51" s="42"/>
      <c r="L51" s="42"/>
    </row>
    <row r="52" spans="1:12" s="45" customFormat="1" ht="12.75">
      <c r="A52" s="41" t="s">
        <v>71</v>
      </c>
      <c r="B52" s="42"/>
      <c r="C52" s="42" t="s">
        <v>72</v>
      </c>
      <c r="D52" s="46"/>
      <c r="E52" s="47"/>
      <c r="F52" s="42"/>
      <c r="G52" s="42"/>
      <c r="H52" s="42"/>
      <c r="I52" s="42"/>
      <c r="J52" s="42"/>
      <c r="K52" s="42"/>
      <c r="L52" s="42"/>
    </row>
    <row r="53" spans="1:12" s="45" customFormat="1" ht="12.75">
      <c r="A53" s="48"/>
      <c r="B53" s="42"/>
      <c r="C53" s="42" t="s">
        <v>73</v>
      </c>
      <c r="D53" s="46"/>
      <c r="E53" s="47"/>
      <c r="F53" s="42"/>
      <c r="G53" s="42"/>
      <c r="H53" s="42"/>
      <c r="I53" s="42"/>
      <c r="J53" s="42"/>
      <c r="K53" s="42"/>
      <c r="L53" s="42"/>
    </row>
    <row r="54" spans="1:12" s="45" customFormat="1" ht="6" customHeight="1">
      <c r="A54" s="49"/>
      <c r="B54" s="50"/>
      <c r="C54" s="50"/>
      <c r="D54" s="50"/>
      <c r="E54" s="51"/>
      <c r="F54" s="50"/>
      <c r="G54" s="50"/>
      <c r="H54" s="50"/>
      <c r="I54" s="50"/>
      <c r="J54" s="50"/>
      <c r="K54" s="50"/>
      <c r="L54" s="50"/>
    </row>
    <row r="55" spans="1:12" ht="12.75">
      <c r="A55" s="28"/>
      <c r="B55" s="29"/>
      <c r="C55" s="29"/>
      <c r="D55" s="29"/>
      <c r="E55" s="29"/>
      <c r="F55" s="30"/>
      <c r="G55" s="29"/>
      <c r="H55" s="29"/>
      <c r="I55" s="29"/>
      <c r="J55" s="29"/>
      <c r="K55" s="29"/>
      <c r="L55" s="29"/>
    </row>
    <row r="56" spans="1:12" s="23" customFormat="1" ht="12.75">
      <c r="A56" s="123" t="s">
        <v>31</v>
      </c>
      <c r="B56" s="124"/>
      <c r="C56" s="124"/>
      <c r="D56" s="124"/>
      <c r="E56" s="124"/>
      <c r="F56" s="124"/>
      <c r="G56" s="124"/>
      <c r="H56" s="124"/>
      <c r="I56" s="124"/>
      <c r="J56" s="124"/>
      <c r="K56" s="124"/>
      <c r="L56" s="125"/>
    </row>
    <row r="57" ht="12.75">
      <c r="A57" s="24"/>
    </row>
    <row r="58" spans="1:12" ht="13.5">
      <c r="A58" s="31"/>
      <c r="G58" s="10" t="s">
        <v>9</v>
      </c>
      <c r="H58" s="32"/>
      <c r="I58" s="10" t="s">
        <v>74</v>
      </c>
      <c r="J58" s="10" t="s">
        <v>10</v>
      </c>
      <c r="K58" s="53" t="s">
        <v>75</v>
      </c>
      <c r="L58" s="10"/>
    </row>
    <row r="59" spans="1:12" ht="12.75">
      <c r="A59" s="34"/>
      <c r="G59" s="8" t="s">
        <v>17</v>
      </c>
      <c r="H59" s="35"/>
      <c r="I59" s="8" t="s">
        <v>18</v>
      </c>
      <c r="J59" s="8" t="s">
        <v>19</v>
      </c>
      <c r="K59" s="54" t="s">
        <v>76</v>
      </c>
      <c r="L59" s="15"/>
    </row>
    <row r="60" spans="2:12" ht="12.75">
      <c r="B60" s="38" t="s">
        <v>52</v>
      </c>
      <c r="C60" s="38"/>
      <c r="D60" s="38"/>
      <c r="E60" s="26"/>
      <c r="F60" s="27"/>
      <c r="G60" s="39">
        <v>0.38</v>
      </c>
      <c r="H60" s="26"/>
      <c r="I60" s="39">
        <v>0.42</v>
      </c>
      <c r="J60" s="39">
        <v>0.1</v>
      </c>
      <c r="K60" s="39">
        <v>0.1</v>
      </c>
      <c r="L60" s="39"/>
    </row>
    <row r="61" spans="2:12" ht="12.75">
      <c r="B61" s="38" t="s">
        <v>53</v>
      </c>
      <c r="C61" s="38"/>
      <c r="D61" s="38"/>
      <c r="E61" s="26"/>
      <c r="F61" s="27"/>
      <c r="G61" s="39">
        <v>0.4</v>
      </c>
      <c r="H61" s="26"/>
      <c r="I61" s="39">
        <v>0.42</v>
      </c>
      <c r="J61" s="39">
        <v>0.08</v>
      </c>
      <c r="K61" s="39">
        <v>0.1</v>
      </c>
      <c r="L61" s="39"/>
    </row>
    <row r="62" ht="12.75">
      <c r="A62" s="24"/>
    </row>
    <row r="63" spans="1:12" s="23" customFormat="1" ht="12.75">
      <c r="A63" s="126" t="s">
        <v>44</v>
      </c>
      <c r="B63" s="127"/>
      <c r="C63" s="127"/>
      <c r="D63" s="127"/>
      <c r="E63" s="127"/>
      <c r="F63" s="127"/>
      <c r="G63" s="127"/>
      <c r="H63" s="127"/>
      <c r="I63" s="127"/>
      <c r="J63" s="127"/>
      <c r="K63" s="127"/>
      <c r="L63" s="128"/>
    </row>
    <row r="64" spans="1:6" ht="12.75">
      <c r="A64" s="24"/>
      <c r="E64"/>
      <c r="F64" s="16"/>
    </row>
    <row r="65" spans="1:12" ht="51.75" customHeight="1">
      <c r="A65" s="129" t="s">
        <v>57</v>
      </c>
      <c r="B65" s="129"/>
      <c r="C65" s="129"/>
      <c r="D65" s="129"/>
      <c r="E65" s="129"/>
      <c r="F65" s="129"/>
      <c r="G65" s="129"/>
      <c r="H65" s="129"/>
      <c r="I65" s="129"/>
      <c r="J65" s="129"/>
      <c r="K65" s="129"/>
      <c r="L65" s="129"/>
    </row>
    <row r="66" spans="1:6" ht="12.75">
      <c r="A66" s="16"/>
      <c r="E66"/>
      <c r="F66" s="16"/>
    </row>
    <row r="67" spans="2:5" ht="12.75">
      <c r="B67" s="24" t="s">
        <v>45</v>
      </c>
      <c r="C67" s="24"/>
      <c r="D67" s="24"/>
      <c r="E67" s="16">
        <v>416006</v>
      </c>
    </row>
    <row r="68" spans="2:5" ht="12.75">
      <c r="B68" s="24" t="s">
        <v>46</v>
      </c>
      <c r="C68" s="24"/>
      <c r="D68" s="24"/>
      <c r="E68" s="16">
        <v>906436</v>
      </c>
    </row>
    <row r="69" spans="2:5" ht="12.75">
      <c r="B69" s="16" t="s">
        <v>47</v>
      </c>
      <c r="E69" s="16">
        <v>440814</v>
      </c>
    </row>
    <row r="70" ht="12.75">
      <c r="E70" s="16" t="s">
        <v>32</v>
      </c>
    </row>
    <row r="72" ht="12.75">
      <c r="A72" s="24" t="s">
        <v>34</v>
      </c>
    </row>
  </sheetData>
  <sheetProtection/>
  <mergeCells count="11">
    <mergeCell ref="A63:L63"/>
    <mergeCell ref="A65:L65"/>
    <mergeCell ref="A31:L31"/>
    <mergeCell ref="A56:L56"/>
    <mergeCell ref="I10:L10"/>
    <mergeCell ref="A8:L8"/>
    <mergeCell ref="A1:L1"/>
    <mergeCell ref="A2:L2"/>
    <mergeCell ref="A3:L3"/>
    <mergeCell ref="A5:L5"/>
    <mergeCell ref="A4:L4"/>
  </mergeCells>
  <hyperlinks>
    <hyperlink ref="A4" r:id="rId1" display="www.monticellogamingandraceway.com"/>
  </hyperlinks>
  <printOptions horizontalCentered="1"/>
  <pageMargins left="0.25" right="0.25" top="0.75" bottom="0.5" header="0.5" footer="0.5"/>
  <pageSetup fitToHeight="1" fitToWidth="1" horizontalDpi="600" verticalDpi="600" orientation="portrait" scale="78" r:id="rId3"/>
  <drawing r:id="rId2"/>
</worksheet>
</file>

<file path=xl/worksheets/sheet12.xml><?xml version="1.0" encoding="utf-8"?>
<worksheet xmlns="http://schemas.openxmlformats.org/spreadsheetml/2006/main" xmlns:r="http://schemas.openxmlformats.org/officeDocument/2006/relationships">
  <sheetPr>
    <pageSetUpPr fitToPage="1"/>
  </sheetPr>
  <dimension ref="A1:L69"/>
  <sheetViews>
    <sheetView zoomScalePageLayoutView="0" workbookViewId="0" topLeftCell="A1">
      <selection activeCell="A1" sqref="A1:K1"/>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8" width="17.28125" style="16" customWidth="1"/>
    <col min="9" max="10" width="17.00390625" style="16" customWidth="1"/>
    <col min="11" max="11" width="18.28125" style="16" customWidth="1"/>
    <col min="12" max="12" width="12.7109375" style="0" customWidth="1"/>
  </cols>
  <sheetData>
    <row r="1" spans="1:11" ht="17.25">
      <c r="A1" s="130" t="s">
        <v>55</v>
      </c>
      <c r="B1" s="130"/>
      <c r="C1" s="130"/>
      <c r="D1" s="130"/>
      <c r="E1" s="130"/>
      <c r="F1" s="130"/>
      <c r="G1" s="130"/>
      <c r="H1" s="130"/>
      <c r="I1" s="130"/>
      <c r="J1" s="130"/>
      <c r="K1" s="130"/>
    </row>
    <row r="2" spans="1:11" ht="15">
      <c r="A2" s="131" t="s">
        <v>0</v>
      </c>
      <c r="B2" s="131"/>
      <c r="C2" s="131"/>
      <c r="D2" s="131"/>
      <c r="E2" s="131"/>
      <c r="F2" s="131"/>
      <c r="G2" s="131"/>
      <c r="H2" s="131"/>
      <c r="I2" s="131"/>
      <c r="J2" s="131"/>
      <c r="K2" s="131"/>
    </row>
    <row r="3" spans="1:11" s="1" customFormat="1" ht="15">
      <c r="A3" s="131" t="s">
        <v>1</v>
      </c>
      <c r="B3" s="131"/>
      <c r="C3" s="131"/>
      <c r="D3" s="131"/>
      <c r="E3" s="131"/>
      <c r="F3" s="131"/>
      <c r="G3" s="131"/>
      <c r="H3" s="131"/>
      <c r="I3" s="131"/>
      <c r="J3" s="131"/>
      <c r="K3" s="131"/>
    </row>
    <row r="4" spans="1:11" s="1" customFormat="1" ht="13.5">
      <c r="A4" s="133" t="s">
        <v>2</v>
      </c>
      <c r="B4" s="133"/>
      <c r="C4" s="133"/>
      <c r="D4" s="133"/>
      <c r="E4" s="133"/>
      <c r="F4" s="133"/>
      <c r="G4" s="133"/>
      <c r="H4" s="133"/>
      <c r="I4" s="133"/>
      <c r="J4" s="133"/>
      <c r="K4" s="133"/>
    </row>
    <row r="5" spans="1:11" s="1" customFormat="1" ht="13.5">
      <c r="A5" s="132" t="s">
        <v>3</v>
      </c>
      <c r="B5" s="132"/>
      <c r="C5" s="132"/>
      <c r="D5" s="132"/>
      <c r="E5" s="132"/>
      <c r="F5" s="132"/>
      <c r="G5" s="132"/>
      <c r="H5" s="132"/>
      <c r="I5" s="132"/>
      <c r="J5" s="132"/>
      <c r="K5" s="132"/>
    </row>
    <row r="6" spans="1:11" s="1" customFormat="1" ht="13.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123" t="s">
        <v>49</v>
      </c>
      <c r="B8" s="124"/>
      <c r="C8" s="124"/>
      <c r="D8" s="124"/>
      <c r="E8" s="124"/>
      <c r="F8" s="124"/>
      <c r="G8" s="124"/>
      <c r="H8" s="124"/>
      <c r="I8" s="124"/>
      <c r="J8" s="124"/>
      <c r="K8" s="125"/>
    </row>
    <row r="9" spans="1:11" s="1" customFormat="1" ht="9" customHeight="1">
      <c r="A9" s="3"/>
      <c r="B9" s="4"/>
      <c r="C9" s="4"/>
      <c r="D9" s="5"/>
      <c r="E9" s="6"/>
      <c r="F9" s="5"/>
      <c r="G9" s="5"/>
      <c r="H9" s="5"/>
      <c r="I9" s="5"/>
      <c r="J9" s="5"/>
      <c r="K9" s="5"/>
    </row>
    <row r="10" spans="1:11" s="1" customFormat="1" ht="12.75">
      <c r="A10" s="3"/>
      <c r="B10" s="5"/>
      <c r="C10" s="5"/>
      <c r="D10" s="5"/>
      <c r="E10" s="6"/>
      <c r="F10" s="5"/>
      <c r="G10" s="5"/>
      <c r="H10" s="122" t="s">
        <v>5</v>
      </c>
      <c r="I10" s="122"/>
      <c r="J10" s="122"/>
      <c r="K10" s="122"/>
    </row>
    <row r="11" spans="1:11" s="1" customFormat="1" ht="7.5" customHeight="1">
      <c r="A11" s="3"/>
      <c r="B11" s="5"/>
      <c r="C11" s="5"/>
      <c r="D11" s="5"/>
      <c r="E11" s="6"/>
      <c r="F11" s="5"/>
      <c r="G11" s="5"/>
      <c r="H11" s="5"/>
      <c r="I11" s="5"/>
      <c r="J11" s="5"/>
      <c r="K11" s="5"/>
    </row>
    <row r="12" spans="1:11" s="12" customFormat="1" ht="12">
      <c r="A12" s="9"/>
      <c r="B12" s="10" t="s">
        <v>6</v>
      </c>
      <c r="C12" s="10" t="s">
        <v>6</v>
      </c>
      <c r="D12" s="10"/>
      <c r="E12" s="11" t="s">
        <v>7</v>
      </c>
      <c r="F12" s="10" t="s">
        <v>8</v>
      </c>
      <c r="G12" s="10"/>
      <c r="H12" s="10" t="s">
        <v>9</v>
      </c>
      <c r="I12" s="10" t="s">
        <v>74</v>
      </c>
      <c r="J12" s="10" t="s">
        <v>10</v>
      </c>
      <c r="K12" s="10" t="s">
        <v>75</v>
      </c>
    </row>
    <row r="13" spans="1:11" s="12" customFormat="1" ht="12">
      <c r="A13" s="13" t="s">
        <v>11</v>
      </c>
      <c r="B13" s="8" t="s">
        <v>12</v>
      </c>
      <c r="C13" s="8" t="s">
        <v>13</v>
      </c>
      <c r="D13" s="8" t="s">
        <v>14</v>
      </c>
      <c r="E13" s="14" t="s">
        <v>15</v>
      </c>
      <c r="F13" s="8" t="s">
        <v>16</v>
      </c>
      <c r="G13" s="15"/>
      <c r="H13" s="8" t="s">
        <v>17</v>
      </c>
      <c r="I13" s="8" t="s">
        <v>18</v>
      </c>
      <c r="J13" s="8" t="s">
        <v>19</v>
      </c>
      <c r="K13" s="8" t="s">
        <v>76</v>
      </c>
    </row>
    <row r="15" spans="1:11" ht="12.75">
      <c r="A15" s="3">
        <v>39539</v>
      </c>
      <c r="B15" s="16">
        <v>60350815.82</v>
      </c>
      <c r="C15" s="16">
        <f aca="true" t="shared" si="0" ref="C15:C26">B15-D15</f>
        <v>55729054.43</v>
      </c>
      <c r="D15" s="16">
        <v>4621761.39</v>
      </c>
      <c r="E15" s="17">
        <f>47610/30</f>
        <v>1587</v>
      </c>
      <c r="F15" s="16">
        <f>D15/E15/30</f>
        <v>97.07543352236924</v>
      </c>
      <c r="H15" s="16">
        <v>1756269.33</v>
      </c>
      <c r="I15" s="16">
        <v>1941139.77</v>
      </c>
      <c r="J15" s="16">
        <v>462176.12</v>
      </c>
      <c r="K15" s="16">
        <v>462176.12</v>
      </c>
    </row>
    <row r="16" spans="1:11" ht="12.75">
      <c r="A16" s="3">
        <v>39569</v>
      </c>
      <c r="B16" s="16">
        <v>72663938.53</v>
      </c>
      <c r="C16" s="16">
        <f t="shared" si="0"/>
        <v>67008563.22</v>
      </c>
      <c r="D16" s="16">
        <v>5655375.31</v>
      </c>
      <c r="E16" s="17">
        <f>49197/31</f>
        <v>1587</v>
      </c>
      <c r="F16" s="16">
        <f>D16/E16/31</f>
        <v>114.95366201191128</v>
      </c>
      <c r="H16" s="16">
        <v>2149042.63</v>
      </c>
      <c r="I16" s="16">
        <v>2375257.65</v>
      </c>
      <c r="J16" s="16">
        <v>565537.57</v>
      </c>
      <c r="K16" s="16">
        <v>565537.57</v>
      </c>
    </row>
    <row r="17" spans="1:11" ht="12.75">
      <c r="A17" s="3">
        <v>39600</v>
      </c>
      <c r="B17" s="16">
        <v>62890665.82</v>
      </c>
      <c r="C17" s="16">
        <f t="shared" si="0"/>
        <v>57843943.93</v>
      </c>
      <c r="D17" s="16">
        <v>5046721.89</v>
      </c>
      <c r="E17" s="17">
        <f>47610/30</f>
        <v>1587</v>
      </c>
      <c r="F17" s="16">
        <f>D17/E17/30</f>
        <v>106.00129993698802</v>
      </c>
      <c r="H17" s="16">
        <v>1917754.32</v>
      </c>
      <c r="I17" s="16">
        <v>2119623.2</v>
      </c>
      <c r="J17" s="16">
        <v>504672.19</v>
      </c>
      <c r="K17" s="16">
        <v>504672.19</v>
      </c>
    </row>
    <row r="18" spans="1:11" ht="12.75">
      <c r="A18" s="3">
        <v>39630</v>
      </c>
      <c r="B18" s="16">
        <v>79268838.67</v>
      </c>
      <c r="C18" s="16">
        <f t="shared" si="0"/>
        <v>73046244.44</v>
      </c>
      <c r="D18" s="16">
        <v>6222594.23</v>
      </c>
      <c r="E18" s="17">
        <f>49197/31</f>
        <v>1587</v>
      </c>
      <c r="F18" s="16">
        <f>D18/E18/31</f>
        <v>126.48320487021567</v>
      </c>
      <c r="H18" s="16">
        <v>2364585.78</v>
      </c>
      <c r="I18" s="16">
        <v>2613489.58</v>
      </c>
      <c r="J18" s="16">
        <v>622259.43</v>
      </c>
      <c r="K18" s="16">
        <v>622259.43</v>
      </c>
    </row>
    <row r="19" spans="1:11" ht="12.75">
      <c r="A19" s="3">
        <v>39661</v>
      </c>
      <c r="B19" s="16">
        <v>85616508.56</v>
      </c>
      <c r="C19" s="16">
        <f t="shared" si="0"/>
        <v>78836918.5</v>
      </c>
      <c r="D19" s="16">
        <v>6779590.06</v>
      </c>
      <c r="E19" s="17">
        <f>49197/31</f>
        <v>1587</v>
      </c>
      <c r="F19" s="16">
        <f>D19/E19/31</f>
        <v>137.80494867573228</v>
      </c>
      <c r="H19" s="16">
        <v>2576244.22</v>
      </c>
      <c r="I19" s="16">
        <v>2847427.83</v>
      </c>
      <c r="J19" s="16">
        <v>677959.06</v>
      </c>
      <c r="K19" s="16">
        <v>677959.06</v>
      </c>
    </row>
    <row r="20" spans="1:11" ht="12.75">
      <c r="A20" s="3">
        <v>39692</v>
      </c>
      <c r="B20" s="16">
        <v>61760878.91</v>
      </c>
      <c r="C20" s="16">
        <f t="shared" si="0"/>
        <v>56850485.699999996</v>
      </c>
      <c r="D20" s="16">
        <v>4910393.21</v>
      </c>
      <c r="E20" s="17">
        <f>47610/30</f>
        <v>1587</v>
      </c>
      <c r="F20" s="16">
        <f>D20/E20/30</f>
        <v>103.1378536021844</v>
      </c>
      <c r="H20" s="16">
        <v>1865949.43</v>
      </c>
      <c r="I20" s="16">
        <v>2062365.15</v>
      </c>
      <c r="J20" s="16">
        <v>491039.33</v>
      </c>
      <c r="K20" s="16">
        <v>491039.33</v>
      </c>
    </row>
    <row r="21" spans="1:11" ht="12.75">
      <c r="A21" s="3">
        <v>39722</v>
      </c>
      <c r="B21" s="16">
        <v>58741593.62</v>
      </c>
      <c r="C21" s="16">
        <f t="shared" si="0"/>
        <v>54411280.82</v>
      </c>
      <c r="D21" s="16">
        <v>4330312.8</v>
      </c>
      <c r="E21" s="17">
        <f>49197/31</f>
        <v>1587</v>
      </c>
      <c r="F21" s="16">
        <f>D21/E21/31</f>
        <v>88.01985486919934</v>
      </c>
      <c r="H21" s="16">
        <v>1645518.86</v>
      </c>
      <c r="I21" s="16">
        <v>1818731.36</v>
      </c>
      <c r="J21" s="16">
        <v>433031.28</v>
      </c>
      <c r="K21" s="16">
        <v>433031.28</v>
      </c>
    </row>
    <row r="22" spans="1:11" ht="12.75">
      <c r="A22" s="3">
        <v>39753</v>
      </c>
      <c r="B22" s="16">
        <v>54673874.32</v>
      </c>
      <c r="C22" s="16">
        <f t="shared" si="0"/>
        <v>50497738.34</v>
      </c>
      <c r="D22" s="16">
        <v>4176135.98</v>
      </c>
      <c r="E22" s="17">
        <f>47610/30</f>
        <v>1587</v>
      </c>
      <c r="F22" s="16">
        <f>D22/E22/30</f>
        <v>87.71552152909052</v>
      </c>
      <c r="H22" s="16">
        <v>1586931.66</v>
      </c>
      <c r="I22" s="16">
        <v>1753977.11</v>
      </c>
      <c r="J22" s="16">
        <v>417613.62</v>
      </c>
      <c r="K22" s="16">
        <v>417613.62</v>
      </c>
    </row>
    <row r="23" spans="1:11" ht="12.75">
      <c r="A23" s="3">
        <v>39783</v>
      </c>
      <c r="B23" s="16">
        <v>40667344.1</v>
      </c>
      <c r="C23" s="16">
        <f t="shared" si="0"/>
        <v>37516151.14</v>
      </c>
      <c r="D23" s="16">
        <v>3151192.96</v>
      </c>
      <c r="E23" s="17">
        <f>49197/31</f>
        <v>1587</v>
      </c>
      <c r="F23" s="16">
        <f>D23/E23/31</f>
        <v>64.05254304124234</v>
      </c>
      <c r="H23" s="16">
        <v>1197453.34</v>
      </c>
      <c r="I23" s="16">
        <v>1323501.03</v>
      </c>
      <c r="J23" s="16">
        <v>315119.31</v>
      </c>
      <c r="K23" s="16">
        <v>315119.31</v>
      </c>
    </row>
    <row r="24" spans="1:11" ht="12.75">
      <c r="A24" s="3">
        <v>39814</v>
      </c>
      <c r="B24" s="16">
        <v>47644623.24</v>
      </c>
      <c r="C24" s="16">
        <f t="shared" si="0"/>
        <v>44181196.59</v>
      </c>
      <c r="D24" s="16">
        <v>3463426.65</v>
      </c>
      <c r="E24" s="17">
        <f>49197/31</f>
        <v>1587</v>
      </c>
      <c r="F24" s="16">
        <f>D24/E24/31</f>
        <v>70.39914324044149</v>
      </c>
      <c r="H24" s="16">
        <v>1316102.16</v>
      </c>
      <c r="I24" s="16">
        <v>1454639.2</v>
      </c>
      <c r="J24" s="16">
        <v>346342.7</v>
      </c>
      <c r="K24" s="16">
        <v>346342.7</v>
      </c>
    </row>
    <row r="25" spans="1:11" ht="12.75">
      <c r="A25" s="3">
        <v>39845</v>
      </c>
      <c r="B25" s="16">
        <v>52152791.32</v>
      </c>
      <c r="C25" s="16">
        <f t="shared" si="0"/>
        <v>47988302.51</v>
      </c>
      <c r="D25" s="16">
        <v>4164488.81</v>
      </c>
      <c r="E25" s="17">
        <f>44436/28</f>
        <v>1587</v>
      </c>
      <c r="F25" s="16">
        <f>D25/E25/28</f>
        <v>93.7188047979116</v>
      </c>
      <c r="H25" s="16">
        <v>1582505.72</v>
      </c>
      <c r="I25" s="16">
        <v>1749085.33</v>
      </c>
      <c r="J25" s="16">
        <v>416448.88</v>
      </c>
      <c r="K25" s="16">
        <v>416448.88</v>
      </c>
    </row>
    <row r="26" spans="1:11" ht="12.75">
      <c r="A26" s="3">
        <v>39873</v>
      </c>
      <c r="B26" s="16">
        <v>57273543.48</v>
      </c>
      <c r="C26" s="16">
        <f t="shared" si="0"/>
        <v>52702393.11</v>
      </c>
      <c r="D26" s="16">
        <v>4571150.37</v>
      </c>
      <c r="E26" s="17">
        <f>49197/31</f>
        <v>1587</v>
      </c>
      <c r="F26" s="16">
        <f>D26/E26/31</f>
        <v>92.91522592841027</v>
      </c>
      <c r="H26" s="16">
        <v>1737037.14</v>
      </c>
      <c r="I26" s="16">
        <v>1919883.16</v>
      </c>
      <c r="J26" s="16">
        <v>457115.06</v>
      </c>
      <c r="K26" s="16">
        <v>457115.06</v>
      </c>
    </row>
    <row r="27" spans="1:11" ht="13.5" thickBot="1">
      <c r="A27" s="3" t="s">
        <v>20</v>
      </c>
      <c r="B27" s="18">
        <f>SUM(B15:B26)</f>
        <v>733705416.39</v>
      </c>
      <c r="C27" s="18">
        <f>SUM(C15:C26)</f>
        <v>676612272.73</v>
      </c>
      <c r="D27" s="18">
        <f>SUM(D15:D26)</f>
        <v>57093143.66</v>
      </c>
      <c r="H27" s="18">
        <f>SUM(H15:H26)</f>
        <v>21695394.59</v>
      </c>
      <c r="I27" s="18">
        <f>SUM(I15:I26)</f>
        <v>23979120.37</v>
      </c>
      <c r="J27" s="18">
        <f>SUM(J15:J26)</f>
        <v>5709314.55</v>
      </c>
      <c r="K27" s="18">
        <f>SUM(K15:K26)</f>
        <v>5709314.55</v>
      </c>
    </row>
    <row r="28" spans="2:11" ht="10.5" customHeight="1" thickTop="1">
      <c r="B28" s="19"/>
      <c r="C28" s="19"/>
      <c r="D28" s="19"/>
      <c r="H28" s="19"/>
      <c r="I28" s="19"/>
      <c r="J28" s="19"/>
      <c r="K28" s="19"/>
    </row>
    <row r="29" spans="1:11" s="22" customFormat="1" ht="12.75">
      <c r="A29" s="20"/>
      <c r="B29" s="21"/>
      <c r="C29" s="21">
        <f>C27/B27</f>
        <v>0.9221851953323291</v>
      </c>
      <c r="D29" s="21">
        <f>D27/B27</f>
        <v>0.0778148046676709</v>
      </c>
      <c r="H29" s="21">
        <f>H27/$D$27</f>
        <v>0.3799999999859878</v>
      </c>
      <c r="I29" s="21">
        <f>I27/$D$27</f>
        <v>0.4200000005744999</v>
      </c>
      <c r="J29" s="21">
        <f>J27/$D$27</f>
        <v>0.1000000032228038</v>
      </c>
      <c r="K29" s="21">
        <f>K27/$D$27</f>
        <v>0.1000000032228038</v>
      </c>
    </row>
    <row r="31" spans="1:11" s="23" customFormat="1" ht="12.75">
      <c r="A31" s="123" t="s">
        <v>21</v>
      </c>
      <c r="B31" s="124"/>
      <c r="C31" s="124"/>
      <c r="D31" s="124"/>
      <c r="E31" s="124"/>
      <c r="F31" s="124"/>
      <c r="G31" s="124"/>
      <c r="H31" s="124"/>
      <c r="I31" s="124"/>
      <c r="J31" s="124"/>
      <c r="K31" s="125"/>
    </row>
    <row r="32" ht="12.75">
      <c r="A32" s="24"/>
    </row>
    <row r="33" spans="1:12" s="45" customFormat="1" ht="12.75" customHeight="1">
      <c r="A33" s="41" t="s">
        <v>22</v>
      </c>
      <c r="B33" s="42"/>
      <c r="C33" s="43" t="s">
        <v>86</v>
      </c>
      <c r="D33" s="44"/>
      <c r="E33" s="44"/>
      <c r="F33" s="44"/>
      <c r="G33" s="44"/>
      <c r="H33" s="44"/>
      <c r="I33" s="44"/>
      <c r="J33" s="44"/>
      <c r="K33" s="44"/>
      <c r="L33" s="44"/>
    </row>
    <row r="34" spans="1:12" s="45" customFormat="1" ht="12.75" customHeight="1">
      <c r="A34" s="41"/>
      <c r="B34" s="42"/>
      <c r="C34" s="43" t="s">
        <v>87</v>
      </c>
      <c r="D34" s="44"/>
      <c r="E34" s="44"/>
      <c r="F34" s="44"/>
      <c r="G34" s="44"/>
      <c r="H34" s="44"/>
      <c r="I34" s="44"/>
      <c r="J34" s="44"/>
      <c r="K34" s="44"/>
      <c r="L34" s="44"/>
    </row>
    <row r="35" spans="1:12" s="45" customFormat="1" ht="12.75" customHeight="1">
      <c r="A35" s="41"/>
      <c r="B35" s="42"/>
      <c r="C35" s="43"/>
      <c r="D35" s="44"/>
      <c r="E35" s="44"/>
      <c r="F35" s="44"/>
      <c r="G35" s="44"/>
      <c r="H35" s="44"/>
      <c r="I35" s="44"/>
      <c r="J35" s="44"/>
      <c r="K35" s="44"/>
      <c r="L35" s="44"/>
    </row>
    <row r="36" spans="1:11" ht="12.75">
      <c r="A36" s="25" t="s">
        <v>23</v>
      </c>
      <c r="B36" s="26"/>
      <c r="C36" s="26" t="s">
        <v>24</v>
      </c>
      <c r="E36" s="26"/>
      <c r="F36" s="26"/>
      <c r="G36" s="26"/>
      <c r="H36" s="26"/>
      <c r="I36" s="26"/>
      <c r="J36" s="26"/>
      <c r="K36" s="26"/>
    </row>
    <row r="37" spans="1:11" ht="6" customHeight="1">
      <c r="A37" s="25"/>
      <c r="B37" s="26"/>
      <c r="C37" s="26"/>
      <c r="E37" s="26"/>
      <c r="F37" s="26"/>
      <c r="G37" s="26"/>
      <c r="H37" s="26"/>
      <c r="I37" s="26"/>
      <c r="J37" s="26"/>
      <c r="K37" s="26"/>
    </row>
    <row r="38" spans="1:11" ht="12.75">
      <c r="A38" s="25" t="s">
        <v>25</v>
      </c>
      <c r="B38" s="26"/>
      <c r="C38" s="26" t="s">
        <v>50</v>
      </c>
      <c r="E38" s="27"/>
      <c r="F38" s="26"/>
      <c r="G38" s="26"/>
      <c r="H38" s="26"/>
      <c r="I38" s="26"/>
      <c r="J38" s="26"/>
      <c r="K38" s="26"/>
    </row>
    <row r="39" spans="1:11" ht="12.75">
      <c r="A39" s="25"/>
      <c r="B39" s="26"/>
      <c r="C39" s="26" t="s">
        <v>51</v>
      </c>
      <c r="E39" s="27"/>
      <c r="F39" s="26"/>
      <c r="G39" s="26"/>
      <c r="H39" s="26"/>
      <c r="I39" s="26"/>
      <c r="J39" s="26"/>
      <c r="K39" s="26"/>
    </row>
    <row r="40" spans="1:11" ht="6" customHeight="1">
      <c r="A40" s="25"/>
      <c r="B40" s="26"/>
      <c r="C40" s="26"/>
      <c r="E40" s="27"/>
      <c r="F40" s="26"/>
      <c r="G40" s="26"/>
      <c r="H40" s="26"/>
      <c r="I40" s="26"/>
      <c r="J40" s="26"/>
      <c r="K40" s="26"/>
    </row>
    <row r="41" spans="1:11" ht="12.75">
      <c r="A41" s="25" t="s">
        <v>28</v>
      </c>
      <c r="B41" s="26"/>
      <c r="C41" s="26" t="s">
        <v>29</v>
      </c>
      <c r="E41" s="27"/>
      <c r="F41" s="26"/>
      <c r="G41" s="26"/>
      <c r="H41" s="26"/>
      <c r="I41" s="26"/>
      <c r="J41" s="26"/>
      <c r="K41" s="26"/>
    </row>
    <row r="42" spans="1:11" ht="6" customHeight="1">
      <c r="A42" s="25"/>
      <c r="B42" s="26"/>
      <c r="C42" s="26"/>
      <c r="E42" s="27"/>
      <c r="F42" s="26"/>
      <c r="G42" s="26"/>
      <c r="H42" s="26"/>
      <c r="I42" s="26"/>
      <c r="J42" s="26"/>
      <c r="K42" s="26"/>
    </row>
    <row r="43" spans="1:12" s="45" customFormat="1" ht="12.75">
      <c r="A43" s="41" t="s">
        <v>67</v>
      </c>
      <c r="B43" s="42"/>
      <c r="C43" s="42" t="s">
        <v>68</v>
      </c>
      <c r="D43" s="46"/>
      <c r="E43" s="47"/>
      <c r="F43" s="42"/>
      <c r="G43" s="42"/>
      <c r="H43" s="42"/>
      <c r="I43" s="42"/>
      <c r="J43" s="42"/>
      <c r="K43" s="42"/>
      <c r="L43" s="42"/>
    </row>
    <row r="44" spans="1:12" s="45" customFormat="1" ht="12.75">
      <c r="A44" s="41"/>
      <c r="B44" s="42"/>
      <c r="C44" s="42" t="s">
        <v>77</v>
      </c>
      <c r="D44" s="46"/>
      <c r="E44" s="47"/>
      <c r="F44" s="42"/>
      <c r="G44" s="42"/>
      <c r="H44" s="42"/>
      <c r="I44" s="42"/>
      <c r="J44" s="42"/>
      <c r="K44" s="42"/>
      <c r="L44" s="42"/>
    </row>
    <row r="45" spans="1:12" s="45" customFormat="1" ht="12.75">
      <c r="A45" s="41"/>
      <c r="B45" s="42"/>
      <c r="C45" s="42" t="s">
        <v>78</v>
      </c>
      <c r="D45" s="46"/>
      <c r="E45" s="47"/>
      <c r="F45" s="42"/>
      <c r="G45" s="42"/>
      <c r="H45" s="42"/>
      <c r="I45" s="42"/>
      <c r="J45" s="42"/>
      <c r="K45" s="42"/>
      <c r="L45" s="42"/>
    </row>
    <row r="46" spans="1:11" ht="6" customHeight="1">
      <c r="A46" s="25"/>
      <c r="B46" s="26"/>
      <c r="C46" s="26"/>
      <c r="E46" s="27"/>
      <c r="F46" s="26"/>
      <c r="G46" s="26"/>
      <c r="H46" s="26"/>
      <c r="I46" s="26"/>
      <c r="J46" s="26"/>
      <c r="K46" s="26"/>
    </row>
    <row r="47" spans="1:12" s="45" customFormat="1" ht="12.75">
      <c r="A47" s="41" t="s">
        <v>30</v>
      </c>
      <c r="B47" s="42"/>
      <c r="C47" s="42" t="s">
        <v>69</v>
      </c>
      <c r="D47" s="46"/>
      <c r="E47" s="47"/>
      <c r="F47" s="42"/>
      <c r="G47" s="42"/>
      <c r="H47" s="42"/>
      <c r="I47" s="42"/>
      <c r="J47" s="42"/>
      <c r="K47" s="42"/>
      <c r="L47" s="42"/>
    </row>
    <row r="48" spans="1:12" s="45" customFormat="1" ht="12.75">
      <c r="A48" s="41"/>
      <c r="B48" s="42"/>
      <c r="C48" s="42" t="s">
        <v>70</v>
      </c>
      <c r="D48" s="46"/>
      <c r="E48" s="47"/>
      <c r="F48" s="42"/>
      <c r="G48" s="42"/>
      <c r="H48" s="42"/>
      <c r="I48" s="42"/>
      <c r="J48" s="42"/>
      <c r="K48" s="42"/>
      <c r="L48" s="42"/>
    </row>
    <row r="49" spans="1:11" ht="6" customHeight="1">
      <c r="A49" s="25"/>
      <c r="B49" s="26"/>
      <c r="C49" s="26"/>
      <c r="E49" s="27"/>
      <c r="F49" s="26"/>
      <c r="G49" s="26"/>
      <c r="H49" s="26"/>
      <c r="I49" s="26"/>
      <c r="J49" s="26"/>
      <c r="K49" s="26"/>
    </row>
    <row r="50" spans="1:12" s="45" customFormat="1" ht="12.75">
      <c r="A50" s="41" t="s">
        <v>71</v>
      </c>
      <c r="B50" s="42"/>
      <c r="C50" s="42" t="s">
        <v>72</v>
      </c>
      <c r="D50" s="46"/>
      <c r="E50" s="47"/>
      <c r="F50" s="42"/>
      <c r="G50" s="42"/>
      <c r="H50" s="42"/>
      <c r="I50" s="42"/>
      <c r="J50" s="42"/>
      <c r="K50" s="42"/>
      <c r="L50" s="42"/>
    </row>
    <row r="51" spans="1:12" s="45" customFormat="1" ht="12.75">
      <c r="A51" s="48"/>
      <c r="B51" s="42"/>
      <c r="C51" s="42" t="s">
        <v>73</v>
      </c>
      <c r="D51" s="46"/>
      <c r="E51" s="47"/>
      <c r="F51" s="42"/>
      <c r="G51" s="42"/>
      <c r="H51" s="42"/>
      <c r="I51" s="42"/>
      <c r="J51" s="42"/>
      <c r="K51" s="42"/>
      <c r="L51" s="42"/>
    </row>
    <row r="52" spans="1:11" ht="12.75">
      <c r="A52" s="28"/>
      <c r="B52" s="29"/>
      <c r="C52" s="29"/>
      <c r="D52" s="29"/>
      <c r="E52" s="30"/>
      <c r="F52" s="29"/>
      <c r="G52" s="29"/>
      <c r="H52" s="29"/>
      <c r="I52" s="29"/>
      <c r="J52" s="29"/>
      <c r="K52" s="29"/>
    </row>
    <row r="53" spans="1:11" s="23" customFormat="1" ht="12.75">
      <c r="A53" s="123" t="s">
        <v>31</v>
      </c>
      <c r="B53" s="124"/>
      <c r="C53" s="124"/>
      <c r="D53" s="124"/>
      <c r="E53" s="124"/>
      <c r="F53" s="124"/>
      <c r="G53" s="124"/>
      <c r="H53" s="124"/>
      <c r="I53" s="124"/>
      <c r="J53" s="124"/>
      <c r="K53" s="125"/>
    </row>
    <row r="54" ht="12.75">
      <c r="A54" s="24"/>
    </row>
    <row r="55" spans="1:11" ht="13.5">
      <c r="A55" s="31"/>
      <c r="F55" s="10" t="s">
        <v>9</v>
      </c>
      <c r="G55" s="32"/>
      <c r="H55" s="10" t="s">
        <v>74</v>
      </c>
      <c r="I55" s="10" t="s">
        <v>10</v>
      </c>
      <c r="J55" s="53" t="s">
        <v>75</v>
      </c>
      <c r="K55" s="10"/>
    </row>
    <row r="56" spans="1:11" ht="12.75">
      <c r="A56" s="34"/>
      <c r="F56" s="8" t="s">
        <v>17</v>
      </c>
      <c r="G56" s="35"/>
      <c r="H56" s="8" t="s">
        <v>18</v>
      </c>
      <c r="I56" s="8" t="s">
        <v>19</v>
      </c>
      <c r="J56" s="54" t="s">
        <v>76</v>
      </c>
      <c r="K56" s="15"/>
    </row>
    <row r="57" spans="2:11" ht="12.75">
      <c r="B57" s="38" t="s">
        <v>52</v>
      </c>
      <c r="C57" s="38"/>
      <c r="D57" s="26"/>
      <c r="E57" s="27"/>
      <c r="F57" s="39">
        <v>0.38</v>
      </c>
      <c r="G57" s="26"/>
      <c r="H57" s="39">
        <v>0.42</v>
      </c>
      <c r="I57" s="39">
        <v>0.1</v>
      </c>
      <c r="J57" s="39">
        <v>0.1</v>
      </c>
      <c r="K57" s="39"/>
    </row>
    <row r="58" spans="2:11" ht="12.75">
      <c r="B58" s="38" t="s">
        <v>53</v>
      </c>
      <c r="C58" s="38"/>
      <c r="D58" s="26"/>
      <c r="E58" s="27"/>
      <c r="F58" s="39">
        <v>0.4</v>
      </c>
      <c r="G58" s="26"/>
      <c r="H58" s="39">
        <v>0.42</v>
      </c>
      <c r="I58" s="39">
        <v>0.08</v>
      </c>
      <c r="J58" s="39">
        <v>0.1</v>
      </c>
      <c r="K58" s="39"/>
    </row>
    <row r="59" ht="12.75">
      <c r="A59" s="24"/>
    </row>
    <row r="60" spans="1:11" s="23" customFormat="1" ht="12.75">
      <c r="A60" s="126" t="s">
        <v>44</v>
      </c>
      <c r="B60" s="127"/>
      <c r="C60" s="127"/>
      <c r="D60" s="127"/>
      <c r="E60" s="127"/>
      <c r="F60" s="127"/>
      <c r="G60" s="127"/>
      <c r="H60" s="127"/>
      <c r="I60" s="127"/>
      <c r="J60" s="127"/>
      <c r="K60" s="128"/>
    </row>
    <row r="61" spans="1:5" ht="12.75">
      <c r="A61" s="24"/>
      <c r="D61"/>
      <c r="E61" s="16"/>
    </row>
    <row r="62" spans="1:11" ht="51.75" customHeight="1">
      <c r="A62" s="129" t="s">
        <v>54</v>
      </c>
      <c r="B62" s="129"/>
      <c r="C62" s="129"/>
      <c r="D62" s="129"/>
      <c r="E62" s="129"/>
      <c r="F62" s="129"/>
      <c r="G62" s="129"/>
      <c r="H62" s="129"/>
      <c r="I62" s="129"/>
      <c r="J62" s="129"/>
      <c r="K62" s="129"/>
    </row>
    <row r="63" spans="1:5" ht="12.75">
      <c r="A63" s="16"/>
      <c r="D63"/>
      <c r="E63" s="16"/>
    </row>
    <row r="64" spans="2:4" ht="12.75">
      <c r="B64" s="24" t="s">
        <v>45</v>
      </c>
      <c r="C64" s="24"/>
      <c r="D64" s="16">
        <v>416006</v>
      </c>
    </row>
    <row r="65" spans="2:4" ht="12.75">
      <c r="B65" s="24" t="s">
        <v>46</v>
      </c>
      <c r="C65" s="24"/>
      <c r="D65" s="16">
        <v>906436</v>
      </c>
    </row>
    <row r="66" spans="2:4" ht="12.75">
      <c r="B66" s="16" t="s">
        <v>47</v>
      </c>
      <c r="D66" s="16">
        <v>440814</v>
      </c>
    </row>
    <row r="67" ht="12.75">
      <c r="D67" s="16" t="s">
        <v>32</v>
      </c>
    </row>
    <row r="69" ht="12.75">
      <c r="A69" s="24" t="s">
        <v>34</v>
      </c>
    </row>
  </sheetData>
  <sheetProtection/>
  <mergeCells count="11">
    <mergeCell ref="A62:K62"/>
    <mergeCell ref="A31:K31"/>
    <mergeCell ref="A53:K53"/>
    <mergeCell ref="H10:K10"/>
    <mergeCell ref="A8:K8"/>
    <mergeCell ref="A1:K1"/>
    <mergeCell ref="A2:K2"/>
    <mergeCell ref="A3:K3"/>
    <mergeCell ref="A5:K5"/>
    <mergeCell ref="A4:K4"/>
    <mergeCell ref="A60:K60"/>
  </mergeCells>
  <hyperlinks>
    <hyperlink ref="A4" r:id="rId1" display="www.monticellogamingandraceway.com"/>
  </hyperlinks>
  <printOptions horizontalCentered="1"/>
  <pageMargins left="0.25" right="0.25" top="0.75" bottom="0.5" header="0.5" footer="0.5"/>
  <pageSetup fitToHeight="1" fitToWidth="1" horizontalDpi="600" verticalDpi="600" orientation="portrait" scale="74" r:id="rId3"/>
  <drawing r:id="rId2"/>
</worksheet>
</file>

<file path=xl/worksheets/sheet13.xml><?xml version="1.0" encoding="utf-8"?>
<worksheet xmlns="http://schemas.openxmlformats.org/spreadsheetml/2006/main" xmlns:r="http://schemas.openxmlformats.org/officeDocument/2006/relationships">
  <sheetPr>
    <pageSetUpPr fitToPage="1"/>
  </sheetPr>
  <dimension ref="A1:L71"/>
  <sheetViews>
    <sheetView zoomScalePageLayoutView="0" workbookViewId="0" topLeftCell="A1">
      <selection activeCell="B29" sqref="B29"/>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7109375" style="16" customWidth="1"/>
    <col min="7" max="7" width="1.421875" style="16" customWidth="1"/>
    <col min="8" max="11" width="14.7109375" style="16" customWidth="1"/>
    <col min="12" max="12" width="12.7109375" style="0" customWidth="1"/>
  </cols>
  <sheetData>
    <row r="1" spans="1:11" ht="17.25">
      <c r="A1" s="130" t="s">
        <v>55</v>
      </c>
      <c r="B1" s="130"/>
      <c r="C1" s="130"/>
      <c r="D1" s="130"/>
      <c r="E1" s="130"/>
      <c r="F1" s="130"/>
      <c r="G1" s="130"/>
      <c r="H1" s="130"/>
      <c r="I1" s="130"/>
      <c r="J1" s="130"/>
      <c r="K1" s="130"/>
    </row>
    <row r="2" spans="1:11" ht="15">
      <c r="A2" s="131" t="s">
        <v>0</v>
      </c>
      <c r="B2" s="131"/>
      <c r="C2" s="131"/>
      <c r="D2" s="131"/>
      <c r="E2" s="131"/>
      <c r="F2" s="131"/>
      <c r="G2" s="131"/>
      <c r="H2" s="131"/>
      <c r="I2" s="131"/>
      <c r="J2" s="131"/>
      <c r="K2" s="131"/>
    </row>
    <row r="3" spans="1:11" s="1" customFormat="1" ht="15">
      <c r="A3" s="131" t="s">
        <v>1</v>
      </c>
      <c r="B3" s="131"/>
      <c r="C3" s="131"/>
      <c r="D3" s="131"/>
      <c r="E3" s="131"/>
      <c r="F3" s="131"/>
      <c r="G3" s="131"/>
      <c r="H3" s="131"/>
      <c r="I3" s="131"/>
      <c r="J3" s="131"/>
      <c r="K3" s="131"/>
    </row>
    <row r="4" spans="1:11" s="1" customFormat="1" ht="13.5">
      <c r="A4" s="133" t="s">
        <v>2</v>
      </c>
      <c r="B4" s="133"/>
      <c r="C4" s="133"/>
      <c r="D4" s="133"/>
      <c r="E4" s="133"/>
      <c r="F4" s="133"/>
      <c r="G4" s="133"/>
      <c r="H4" s="133"/>
      <c r="I4" s="133"/>
      <c r="J4" s="133"/>
      <c r="K4" s="133"/>
    </row>
    <row r="5" spans="1:11" s="1" customFormat="1" ht="13.5">
      <c r="A5" s="132" t="s">
        <v>3</v>
      </c>
      <c r="B5" s="132"/>
      <c r="C5" s="132"/>
      <c r="D5" s="132"/>
      <c r="E5" s="132"/>
      <c r="F5" s="132"/>
      <c r="G5" s="132"/>
      <c r="H5" s="132"/>
      <c r="I5" s="132"/>
      <c r="J5" s="132"/>
      <c r="K5" s="132"/>
    </row>
    <row r="6" spans="1:11" s="1" customFormat="1" ht="13.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123" t="s">
        <v>43</v>
      </c>
      <c r="B8" s="124"/>
      <c r="C8" s="124"/>
      <c r="D8" s="124"/>
      <c r="E8" s="124"/>
      <c r="F8" s="124"/>
      <c r="G8" s="124"/>
      <c r="H8" s="124"/>
      <c r="I8" s="124"/>
      <c r="J8" s="124"/>
      <c r="K8" s="125"/>
    </row>
    <row r="9" spans="1:11" s="1" customFormat="1" ht="9" customHeight="1">
      <c r="A9" s="3"/>
      <c r="B9" s="4"/>
      <c r="C9" s="4"/>
      <c r="D9" s="5"/>
      <c r="E9" s="6"/>
      <c r="F9" s="5"/>
      <c r="G9" s="5"/>
      <c r="H9" s="5"/>
      <c r="I9" s="5"/>
      <c r="J9" s="5"/>
      <c r="K9" s="5"/>
    </row>
    <row r="10" spans="1:11" s="1" customFormat="1" ht="12.75">
      <c r="A10" s="3"/>
      <c r="B10" s="5"/>
      <c r="C10" s="5"/>
      <c r="D10" s="5"/>
      <c r="E10" s="6"/>
      <c r="F10" s="5"/>
      <c r="G10" s="5"/>
      <c r="H10" s="122" t="s">
        <v>5</v>
      </c>
      <c r="I10" s="122"/>
      <c r="J10" s="122"/>
      <c r="K10" s="122"/>
    </row>
    <row r="11" spans="1:11" s="1" customFormat="1" ht="7.5" customHeight="1">
      <c r="A11" s="3"/>
      <c r="B11" s="5"/>
      <c r="C11" s="5"/>
      <c r="D11" s="5"/>
      <c r="E11" s="6"/>
      <c r="F11" s="5"/>
      <c r="G11" s="5"/>
      <c r="H11" s="5"/>
      <c r="I11" s="5"/>
      <c r="J11" s="5"/>
      <c r="K11" s="5"/>
    </row>
    <row r="12" spans="1:11" s="12" customFormat="1" ht="12">
      <c r="A12" s="9"/>
      <c r="B12" s="10" t="s">
        <v>6</v>
      </c>
      <c r="C12" s="10" t="s">
        <v>6</v>
      </c>
      <c r="D12" s="10"/>
      <c r="E12" s="11" t="s">
        <v>7</v>
      </c>
      <c r="F12" s="10" t="s">
        <v>8</v>
      </c>
      <c r="G12" s="10"/>
      <c r="H12" s="10" t="s">
        <v>9</v>
      </c>
      <c r="I12" s="10" t="s">
        <v>74</v>
      </c>
      <c r="J12" s="10" t="s">
        <v>10</v>
      </c>
      <c r="K12" s="10" t="s">
        <v>75</v>
      </c>
    </row>
    <row r="13" spans="1:11" s="12" customFormat="1" ht="12">
      <c r="A13" s="13" t="s">
        <v>11</v>
      </c>
      <c r="B13" s="8" t="s">
        <v>12</v>
      </c>
      <c r="C13" s="8" t="s">
        <v>13</v>
      </c>
      <c r="D13" s="8" t="s">
        <v>14</v>
      </c>
      <c r="E13" s="14" t="s">
        <v>15</v>
      </c>
      <c r="F13" s="8" t="s">
        <v>16</v>
      </c>
      <c r="G13" s="15"/>
      <c r="H13" s="8" t="s">
        <v>17</v>
      </c>
      <c r="I13" s="8" t="s">
        <v>18</v>
      </c>
      <c r="J13" s="8" t="s">
        <v>19</v>
      </c>
      <c r="K13" s="8" t="s">
        <v>76</v>
      </c>
    </row>
    <row r="15" spans="1:11" ht="12.75">
      <c r="A15" s="3">
        <v>39173</v>
      </c>
      <c r="B15" s="16">
        <v>67299834.58</v>
      </c>
      <c r="C15" s="16">
        <f aca="true" t="shared" si="0" ref="C15:C26">B15-D15</f>
        <v>62219986.4</v>
      </c>
      <c r="D15" s="16">
        <v>5079848.18</v>
      </c>
      <c r="E15" s="17">
        <f>47610/30</f>
        <v>1587</v>
      </c>
      <c r="F15" s="16">
        <v>106.69708422600296</v>
      </c>
      <c r="H15" s="16">
        <v>2539924.18</v>
      </c>
      <c r="I15" s="16">
        <f>D15*0.32</f>
        <v>1625551.4176</v>
      </c>
      <c r="J15" s="16">
        <f>D15*0.08</f>
        <v>406387.8544</v>
      </c>
      <c r="K15" s="16">
        <f aca="true" t="shared" si="1" ref="K15:K24">D15*0.1</f>
        <v>507984.81799999997</v>
      </c>
    </row>
    <row r="16" spans="1:11" ht="12.75">
      <c r="A16" s="3">
        <v>39203</v>
      </c>
      <c r="B16" s="16">
        <v>73512671.8</v>
      </c>
      <c r="C16" s="16">
        <f t="shared" si="0"/>
        <v>68004698.86</v>
      </c>
      <c r="D16" s="16">
        <v>5507972.94</v>
      </c>
      <c r="E16" s="17">
        <f>49197/31</f>
        <v>1587</v>
      </c>
      <c r="F16" s="16">
        <v>111.957496188792</v>
      </c>
      <c r="H16" s="16">
        <v>2753986.55</v>
      </c>
      <c r="I16" s="16">
        <f>D16*0.32</f>
        <v>1762551.3408000001</v>
      </c>
      <c r="J16" s="16">
        <f>D16*0.08</f>
        <v>440637.83520000003</v>
      </c>
      <c r="K16" s="16">
        <f t="shared" si="1"/>
        <v>550797.2940000001</v>
      </c>
    </row>
    <row r="17" spans="1:11" ht="12.75">
      <c r="A17" s="3">
        <v>39234</v>
      </c>
      <c r="B17" s="16">
        <v>76156237.34000002</v>
      </c>
      <c r="C17" s="16">
        <f t="shared" si="0"/>
        <v>70290423.63000003</v>
      </c>
      <c r="D17" s="16">
        <v>5865813.71</v>
      </c>
      <c r="E17" s="17">
        <f>47610/30</f>
        <v>1587</v>
      </c>
      <c r="F17" s="16">
        <v>123.20549695442133</v>
      </c>
      <c r="H17" s="16">
        <v>2932906.94</v>
      </c>
      <c r="I17" s="16">
        <f>D17*0.32</f>
        <v>1877060.3872</v>
      </c>
      <c r="J17" s="16">
        <f>D17*0.08</f>
        <v>469265.0968</v>
      </c>
      <c r="K17" s="16">
        <f t="shared" si="1"/>
        <v>586581.371</v>
      </c>
    </row>
    <row r="18" spans="1:11" ht="12.75">
      <c r="A18" s="3">
        <v>39264</v>
      </c>
      <c r="B18" s="16">
        <v>85833206.13999997</v>
      </c>
      <c r="C18" s="16">
        <f t="shared" si="0"/>
        <v>79057884.82999997</v>
      </c>
      <c r="D18" s="16">
        <v>6775321.3100000005</v>
      </c>
      <c r="E18" s="17">
        <f>49197/31</f>
        <v>1587</v>
      </c>
      <c r="F18" s="16">
        <v>137.71818017358783</v>
      </c>
      <c r="H18" s="16">
        <v>3387660.74</v>
      </c>
      <c r="I18" s="16">
        <f>D18*0.32</f>
        <v>2168102.8192000003</v>
      </c>
      <c r="J18" s="16">
        <f>D18*0.08</f>
        <v>542025.7048000001</v>
      </c>
      <c r="K18" s="16">
        <f t="shared" si="1"/>
        <v>677532.131</v>
      </c>
    </row>
    <row r="19" spans="1:11" ht="12.75">
      <c r="A19" s="3">
        <v>39295</v>
      </c>
      <c r="B19" s="16">
        <v>84100738.69999999</v>
      </c>
      <c r="C19" s="16">
        <f t="shared" si="0"/>
        <v>77594464.71999998</v>
      </c>
      <c r="D19" s="16">
        <v>6506273.98</v>
      </c>
      <c r="E19" s="17">
        <f>49197/31</f>
        <v>1587</v>
      </c>
      <c r="F19" s="16">
        <v>132.24940504502308</v>
      </c>
      <c r="H19" s="16">
        <v>3253137.09</v>
      </c>
      <c r="I19" s="16">
        <f>D19*0.32</f>
        <v>2082007.6736</v>
      </c>
      <c r="J19" s="16">
        <f>D19*0.08</f>
        <v>520501.9184</v>
      </c>
      <c r="K19" s="16">
        <f t="shared" si="1"/>
        <v>650627.398</v>
      </c>
    </row>
    <row r="20" spans="1:11" ht="12.75">
      <c r="A20" s="3">
        <v>39326</v>
      </c>
      <c r="B20" s="16">
        <v>78754503.19</v>
      </c>
      <c r="C20" s="16">
        <f t="shared" si="0"/>
        <v>72756861.82</v>
      </c>
      <c r="D20" s="16">
        <v>5997641.37</v>
      </c>
      <c r="E20" s="17">
        <f>47610/30</f>
        <v>1587</v>
      </c>
      <c r="F20" s="16">
        <v>125.9744039</v>
      </c>
      <c r="H20" s="16">
        <v>2998820.76</v>
      </c>
      <c r="I20" s="16">
        <v>1919245.24</v>
      </c>
      <c r="J20" s="16">
        <v>479811.31</v>
      </c>
      <c r="K20" s="16">
        <f t="shared" si="1"/>
        <v>599764.137</v>
      </c>
    </row>
    <row r="21" spans="1:11" ht="12.75">
      <c r="A21" s="3">
        <v>39356</v>
      </c>
      <c r="B21" s="16">
        <v>68914058.59</v>
      </c>
      <c r="C21" s="16">
        <f t="shared" si="0"/>
        <v>63562781.59</v>
      </c>
      <c r="D21" s="16">
        <v>5351277</v>
      </c>
      <c r="E21" s="17">
        <f>49197/31</f>
        <v>1587</v>
      </c>
      <c r="F21" s="16">
        <f>D21/E21/31</f>
        <v>108.77242514787487</v>
      </c>
      <c r="H21" s="16">
        <f>D21*0.5</f>
        <v>2675638.5</v>
      </c>
      <c r="I21" s="16">
        <f>D21*0.32</f>
        <v>1712408.6400000001</v>
      </c>
      <c r="J21" s="16">
        <f aca="true" t="shared" si="2" ref="J21:J26">D21*0.08</f>
        <v>428102.16000000003</v>
      </c>
      <c r="K21" s="16">
        <f t="shared" si="1"/>
        <v>535127.7000000001</v>
      </c>
    </row>
    <row r="22" spans="1:11" ht="12.75">
      <c r="A22" s="3">
        <v>39387</v>
      </c>
      <c r="B22" s="16">
        <v>58235758.11</v>
      </c>
      <c r="C22" s="16">
        <f t="shared" si="0"/>
        <v>53790127.35</v>
      </c>
      <c r="D22" s="16">
        <v>4445630.76</v>
      </c>
      <c r="E22" s="17">
        <f>47610/30</f>
        <v>1587</v>
      </c>
      <c r="F22" s="16">
        <f>D22/E22/30</f>
        <v>93.37598739760554</v>
      </c>
      <c r="H22" s="16">
        <v>2222815.46</v>
      </c>
      <c r="I22" s="16">
        <f>D22*0.32</f>
        <v>1422601.8432</v>
      </c>
      <c r="J22" s="16">
        <f t="shared" si="2"/>
        <v>355650.4608</v>
      </c>
      <c r="K22" s="16">
        <f t="shared" si="1"/>
        <v>444563.076</v>
      </c>
    </row>
    <row r="23" spans="1:11" ht="12.75">
      <c r="A23" s="3">
        <v>39417</v>
      </c>
      <c r="B23" s="16">
        <v>47897362.82</v>
      </c>
      <c r="C23" s="16">
        <f t="shared" si="0"/>
        <v>44254179.62</v>
      </c>
      <c r="D23" s="16">
        <v>3643183.2</v>
      </c>
      <c r="E23" s="17">
        <f>49197/31</f>
        <v>1587</v>
      </c>
      <c r="F23" s="16">
        <f>D23/E23/31</f>
        <v>74.05295444844198</v>
      </c>
      <c r="H23" s="16">
        <v>1821591.67</v>
      </c>
      <c r="I23" s="16">
        <f>D23*0.32</f>
        <v>1165818.624</v>
      </c>
      <c r="J23" s="16">
        <f t="shared" si="2"/>
        <v>291454.656</v>
      </c>
      <c r="K23" s="16">
        <f t="shared" si="1"/>
        <v>364318.32000000007</v>
      </c>
    </row>
    <row r="24" spans="1:11" ht="12.75">
      <c r="A24" s="3">
        <v>39448</v>
      </c>
      <c r="B24" s="16">
        <v>56182108.04</v>
      </c>
      <c r="C24" s="16">
        <f t="shared" si="0"/>
        <v>51877225.83</v>
      </c>
      <c r="D24" s="16">
        <v>4304882.21</v>
      </c>
      <c r="E24" s="17">
        <v>1587</v>
      </c>
      <c r="F24" s="16">
        <f>D24/E24/31</f>
        <v>87.50294143951866</v>
      </c>
      <c r="H24" s="16">
        <v>2256776.48</v>
      </c>
      <c r="I24" s="16">
        <v>1273226.98</v>
      </c>
      <c r="J24" s="16">
        <f t="shared" si="2"/>
        <v>344390.5768</v>
      </c>
      <c r="K24" s="16">
        <f t="shared" si="1"/>
        <v>430488.221</v>
      </c>
    </row>
    <row r="25" spans="1:11" ht="12.75">
      <c r="A25" s="3">
        <v>39479</v>
      </c>
      <c r="B25" s="16">
        <v>53459835.83</v>
      </c>
      <c r="C25" s="16">
        <f t="shared" si="0"/>
        <v>49473299.16</v>
      </c>
      <c r="D25" s="16">
        <v>3986536.67</v>
      </c>
      <c r="E25" s="17">
        <f>46023/29</f>
        <v>1587</v>
      </c>
      <c r="F25" s="16">
        <f>D25/E25/29</f>
        <v>86.62053038698042</v>
      </c>
      <c r="H25" s="16">
        <v>2112864.43</v>
      </c>
      <c r="I25" s="16">
        <v>1156095.63</v>
      </c>
      <c r="J25" s="16">
        <f t="shared" si="2"/>
        <v>318922.9336</v>
      </c>
      <c r="K25" s="16">
        <f>D25*0.1</f>
        <v>398653.667</v>
      </c>
    </row>
    <row r="26" spans="1:11" ht="12.75">
      <c r="A26" s="3">
        <v>39508</v>
      </c>
      <c r="B26" s="16">
        <v>63069297.83</v>
      </c>
      <c r="C26" s="16">
        <f t="shared" si="0"/>
        <v>58145612.53</v>
      </c>
      <c r="D26" s="16">
        <v>4923685.3</v>
      </c>
      <c r="E26" s="17">
        <v>1587</v>
      </c>
      <c r="F26" s="16">
        <f>D26/E26/31</f>
        <v>100.08100697196984</v>
      </c>
      <c r="H26" s="16">
        <v>2609553.22</v>
      </c>
      <c r="I26" s="16">
        <v>1427868.74</v>
      </c>
      <c r="J26" s="16">
        <f t="shared" si="2"/>
        <v>393894.824</v>
      </c>
      <c r="K26" s="16">
        <f>D26*0.1</f>
        <v>492368.53</v>
      </c>
    </row>
    <row r="27" spans="1:11" ht="13.5" thickBot="1">
      <c r="A27" s="3" t="s">
        <v>20</v>
      </c>
      <c r="B27" s="18">
        <f>SUM(B15:B26)</f>
        <v>813415612.9700001</v>
      </c>
      <c r="C27" s="18">
        <f>SUM(C15:C26)</f>
        <v>751027546.3399999</v>
      </c>
      <c r="D27" s="18">
        <f>SUM(D15:D26)</f>
        <v>62388066.63</v>
      </c>
      <c r="H27" s="18">
        <f>SUM(H15:H26)</f>
        <v>31565676.02</v>
      </c>
      <c r="I27" s="18">
        <f>SUM(I15:I26)</f>
        <v>19592539.335599996</v>
      </c>
      <c r="J27" s="18">
        <f>SUM(J15:J26)</f>
        <v>4991045.330800001</v>
      </c>
      <c r="K27" s="18">
        <f>SUM(K15:K26)</f>
        <v>6238806.663000002</v>
      </c>
    </row>
    <row r="28" spans="2:11" ht="10.5" customHeight="1" thickTop="1">
      <c r="B28" s="19"/>
      <c r="C28" s="19"/>
      <c r="D28" s="19"/>
      <c r="H28" s="19"/>
      <c r="I28" s="19"/>
      <c r="J28" s="19"/>
      <c r="K28" s="19"/>
    </row>
    <row r="29" spans="1:11" s="22" customFormat="1" ht="12.75">
      <c r="A29" s="20"/>
      <c r="B29" s="21"/>
      <c r="C29" s="21">
        <f>C27/B27</f>
        <v>0.9233011198270408</v>
      </c>
      <c r="D29" s="21">
        <f>D27/B27</f>
        <v>0.07669888017295896</v>
      </c>
      <c r="H29" s="21">
        <f>H27/$D$27</f>
        <v>0.5059569517870152</v>
      </c>
      <c r="I29" s="21">
        <f>I27/$D$27</f>
        <v>0.31404305973762464</v>
      </c>
      <c r="J29" s="21">
        <f>J27/$D$27</f>
        <v>0.08000000000641148</v>
      </c>
      <c r="K29" s="21">
        <f>K27/$D$27</f>
        <v>0.10000000000000002</v>
      </c>
    </row>
    <row r="31" spans="1:11" s="23" customFormat="1" ht="12.75">
      <c r="A31" s="123" t="s">
        <v>21</v>
      </c>
      <c r="B31" s="124"/>
      <c r="C31" s="124"/>
      <c r="D31" s="124"/>
      <c r="E31" s="124"/>
      <c r="F31" s="124"/>
      <c r="G31" s="124"/>
      <c r="H31" s="124"/>
      <c r="I31" s="124"/>
      <c r="J31" s="124"/>
      <c r="K31" s="125"/>
    </row>
    <row r="32" ht="12.75">
      <c r="A32" s="24"/>
    </row>
    <row r="33" spans="1:12" s="45" customFormat="1" ht="12.75" customHeight="1">
      <c r="A33" s="41" t="s">
        <v>22</v>
      </c>
      <c r="B33" s="42"/>
      <c r="C33" s="43" t="s">
        <v>86</v>
      </c>
      <c r="D33" s="44"/>
      <c r="E33" s="44"/>
      <c r="F33" s="44"/>
      <c r="G33" s="44"/>
      <c r="H33" s="44"/>
      <c r="I33" s="44"/>
      <c r="J33" s="44"/>
      <c r="K33" s="44"/>
      <c r="L33" s="44"/>
    </row>
    <row r="34" spans="1:12" s="45" customFormat="1" ht="12.75" customHeight="1">
      <c r="A34" s="41"/>
      <c r="B34" s="42"/>
      <c r="C34" s="43" t="s">
        <v>87</v>
      </c>
      <c r="D34" s="44"/>
      <c r="E34" s="44"/>
      <c r="F34" s="44"/>
      <c r="G34" s="44"/>
      <c r="H34" s="44"/>
      <c r="I34" s="44"/>
      <c r="J34" s="44"/>
      <c r="K34" s="44"/>
      <c r="L34" s="44"/>
    </row>
    <row r="35" spans="1:11" ht="6" customHeight="1">
      <c r="A35" s="25"/>
      <c r="B35" s="26"/>
      <c r="C35" s="26"/>
      <c r="E35" s="26"/>
      <c r="F35" s="26"/>
      <c r="G35" s="26"/>
      <c r="H35" s="26"/>
      <c r="I35" s="26"/>
      <c r="J35" s="26"/>
      <c r="K35" s="26"/>
    </row>
    <row r="36" spans="1:11" ht="12.75">
      <c r="A36" s="25" t="s">
        <v>23</v>
      </c>
      <c r="B36" s="26"/>
      <c r="C36" s="26" t="s">
        <v>24</v>
      </c>
      <c r="E36" s="26"/>
      <c r="F36" s="26"/>
      <c r="G36" s="26"/>
      <c r="H36" s="26"/>
      <c r="I36" s="26"/>
      <c r="J36" s="26"/>
      <c r="K36" s="26"/>
    </row>
    <row r="37" spans="1:11" ht="6" customHeight="1">
      <c r="A37" s="25"/>
      <c r="B37" s="26"/>
      <c r="C37" s="26"/>
      <c r="E37" s="26"/>
      <c r="F37" s="26"/>
      <c r="G37" s="26"/>
      <c r="H37" s="26"/>
      <c r="I37" s="26"/>
      <c r="J37" s="26"/>
      <c r="K37" s="26"/>
    </row>
    <row r="38" spans="1:11" ht="12.75">
      <c r="A38" s="25" t="s">
        <v>25</v>
      </c>
      <c r="B38" s="26"/>
      <c r="C38" s="26" t="s">
        <v>26</v>
      </c>
      <c r="E38" s="27"/>
      <c r="F38" s="26"/>
      <c r="G38" s="26"/>
      <c r="H38" s="26"/>
      <c r="I38" s="26"/>
      <c r="J38" s="26"/>
      <c r="K38" s="26"/>
    </row>
    <row r="39" spans="1:11" ht="12.75">
      <c r="A39" s="25"/>
      <c r="B39" s="26"/>
      <c r="C39" s="26" t="s">
        <v>27</v>
      </c>
      <c r="E39" s="27"/>
      <c r="F39" s="26"/>
      <c r="G39" s="26"/>
      <c r="H39" s="26"/>
      <c r="I39" s="26"/>
      <c r="J39" s="26"/>
      <c r="K39" s="26"/>
    </row>
    <row r="40" spans="1:11" ht="6" customHeight="1">
      <c r="A40" s="25"/>
      <c r="B40" s="26"/>
      <c r="C40" s="26"/>
      <c r="E40" s="27"/>
      <c r="F40" s="26"/>
      <c r="G40" s="26"/>
      <c r="H40" s="26"/>
      <c r="I40" s="26"/>
      <c r="J40" s="26"/>
      <c r="K40" s="26"/>
    </row>
    <row r="41" spans="1:11" ht="12.75">
      <c r="A41" s="25" t="s">
        <v>28</v>
      </c>
      <c r="B41" s="26"/>
      <c r="C41" s="26" t="s">
        <v>29</v>
      </c>
      <c r="E41" s="27"/>
      <c r="F41" s="26"/>
      <c r="G41" s="26"/>
      <c r="H41" s="26"/>
      <c r="I41" s="26"/>
      <c r="J41" s="26"/>
      <c r="K41" s="26"/>
    </row>
    <row r="42" spans="1:11" ht="6" customHeight="1">
      <c r="A42" s="25"/>
      <c r="B42" s="26"/>
      <c r="C42" s="26"/>
      <c r="E42" s="27"/>
      <c r="F42" s="26"/>
      <c r="G42" s="26"/>
      <c r="H42" s="26"/>
      <c r="I42" s="26"/>
      <c r="J42" s="26"/>
      <c r="K42" s="26"/>
    </row>
    <row r="43" spans="1:12" s="45" customFormat="1" ht="12.75">
      <c r="A43" s="41" t="s">
        <v>67</v>
      </c>
      <c r="B43" s="42"/>
      <c r="C43" s="42" t="s">
        <v>68</v>
      </c>
      <c r="D43" s="46"/>
      <c r="E43" s="47"/>
      <c r="F43" s="42"/>
      <c r="G43" s="42"/>
      <c r="H43" s="42"/>
      <c r="I43" s="42"/>
      <c r="J43" s="42"/>
      <c r="K43" s="42"/>
      <c r="L43" s="42"/>
    </row>
    <row r="44" spans="1:12" s="45" customFormat="1" ht="12.75">
      <c r="A44" s="41"/>
      <c r="B44" s="42"/>
      <c r="C44" s="42" t="s">
        <v>77</v>
      </c>
      <c r="D44" s="46"/>
      <c r="E44" s="47"/>
      <c r="F44" s="42"/>
      <c r="G44" s="42"/>
      <c r="H44" s="42"/>
      <c r="I44" s="42"/>
      <c r="J44" s="42"/>
      <c r="K44" s="42"/>
      <c r="L44" s="42"/>
    </row>
    <row r="45" spans="1:12" s="45" customFormat="1" ht="12.75">
      <c r="A45" s="41"/>
      <c r="B45" s="42"/>
      <c r="C45" s="42" t="s">
        <v>78</v>
      </c>
      <c r="D45" s="46"/>
      <c r="E45" s="47"/>
      <c r="F45" s="42"/>
      <c r="G45" s="42"/>
      <c r="H45" s="42"/>
      <c r="I45" s="42"/>
      <c r="J45" s="42"/>
      <c r="K45" s="42"/>
      <c r="L45" s="42"/>
    </row>
    <row r="46" spans="1:11" ht="6" customHeight="1">
      <c r="A46" s="25"/>
      <c r="B46" s="26"/>
      <c r="C46" s="26"/>
      <c r="E46" s="27"/>
      <c r="F46" s="26"/>
      <c r="G46" s="26"/>
      <c r="H46" s="26"/>
      <c r="I46" s="26"/>
      <c r="J46" s="26"/>
      <c r="K46" s="26"/>
    </row>
    <row r="47" spans="1:12" s="45" customFormat="1" ht="12.75">
      <c r="A47" s="41" t="s">
        <v>30</v>
      </c>
      <c r="B47" s="42"/>
      <c r="C47" s="42" t="s">
        <v>69</v>
      </c>
      <c r="D47" s="46"/>
      <c r="E47" s="47"/>
      <c r="F47" s="42"/>
      <c r="G47" s="42"/>
      <c r="H47" s="42"/>
      <c r="I47" s="42"/>
      <c r="J47" s="42"/>
      <c r="K47" s="42"/>
      <c r="L47" s="42"/>
    </row>
    <row r="48" spans="1:12" s="45" customFormat="1" ht="12.75">
      <c r="A48" s="41"/>
      <c r="B48" s="42"/>
      <c r="C48" s="42" t="s">
        <v>70</v>
      </c>
      <c r="D48" s="46"/>
      <c r="E48" s="47"/>
      <c r="F48" s="42"/>
      <c r="G48" s="42"/>
      <c r="H48" s="42"/>
      <c r="I48" s="42"/>
      <c r="J48" s="42"/>
      <c r="K48" s="42"/>
      <c r="L48" s="42"/>
    </row>
    <row r="49" spans="1:11" ht="6" customHeight="1">
      <c r="A49" s="25"/>
      <c r="B49" s="26"/>
      <c r="C49" s="26"/>
      <c r="E49" s="27"/>
      <c r="F49" s="26"/>
      <c r="G49" s="26"/>
      <c r="H49" s="26"/>
      <c r="I49" s="26"/>
      <c r="J49" s="26"/>
      <c r="K49" s="26"/>
    </row>
    <row r="50" spans="1:12" s="45" customFormat="1" ht="12.75">
      <c r="A50" s="41" t="s">
        <v>71</v>
      </c>
      <c r="B50" s="42"/>
      <c r="C50" s="42" t="s">
        <v>72</v>
      </c>
      <c r="D50" s="46"/>
      <c r="E50" s="47"/>
      <c r="F50" s="42"/>
      <c r="G50" s="42"/>
      <c r="H50" s="42"/>
      <c r="I50" s="42"/>
      <c r="J50" s="42"/>
      <c r="K50" s="42"/>
      <c r="L50" s="42"/>
    </row>
    <row r="51" spans="1:12" s="45" customFormat="1" ht="12.75">
      <c r="A51" s="48"/>
      <c r="B51" s="42"/>
      <c r="C51" s="42" t="s">
        <v>73</v>
      </c>
      <c r="D51" s="46"/>
      <c r="E51" s="47"/>
      <c r="F51" s="42"/>
      <c r="G51" s="42"/>
      <c r="H51" s="42"/>
      <c r="I51" s="42"/>
      <c r="J51" s="42"/>
      <c r="K51" s="42"/>
      <c r="L51" s="42"/>
    </row>
    <row r="52" spans="1:11" ht="12.75">
      <c r="A52" s="28"/>
      <c r="B52" s="29"/>
      <c r="C52" s="29"/>
      <c r="D52" s="29"/>
      <c r="E52" s="30"/>
      <c r="F52" s="29"/>
      <c r="G52" s="29"/>
      <c r="H52" s="29"/>
      <c r="I52" s="29"/>
      <c r="J52" s="29"/>
      <c r="K52" s="29"/>
    </row>
    <row r="53" spans="1:11" s="23" customFormat="1" ht="12.75">
      <c r="A53" s="123" t="s">
        <v>31</v>
      </c>
      <c r="B53" s="124"/>
      <c r="C53" s="124"/>
      <c r="D53" s="124"/>
      <c r="E53" s="124"/>
      <c r="F53" s="124"/>
      <c r="G53" s="124"/>
      <c r="H53" s="124"/>
      <c r="I53" s="124"/>
      <c r="J53" s="124"/>
      <c r="K53" s="125"/>
    </row>
    <row r="54" ht="12.75">
      <c r="A54" s="24"/>
    </row>
    <row r="55" spans="1:11" ht="13.5">
      <c r="A55" s="31"/>
      <c r="F55" s="10" t="s">
        <v>9</v>
      </c>
      <c r="G55" s="32"/>
      <c r="H55" s="10" t="s">
        <v>74</v>
      </c>
      <c r="I55" s="10" t="s">
        <v>10</v>
      </c>
      <c r="J55" s="53" t="s">
        <v>75</v>
      </c>
      <c r="K55" s="33"/>
    </row>
    <row r="56" spans="1:11" ht="12.75">
      <c r="A56" s="34"/>
      <c r="F56" s="8" t="s">
        <v>17</v>
      </c>
      <c r="G56" s="35"/>
      <c r="H56" s="8" t="s">
        <v>18</v>
      </c>
      <c r="I56" s="8" t="s">
        <v>19</v>
      </c>
      <c r="J56" s="54" t="s">
        <v>76</v>
      </c>
      <c r="K56" s="33"/>
    </row>
    <row r="57" spans="2:11" ht="12.75">
      <c r="B57" s="38" t="s">
        <v>38</v>
      </c>
      <c r="C57" s="38"/>
      <c r="D57" s="26"/>
      <c r="E57" s="27"/>
      <c r="F57" s="39">
        <v>0.5</v>
      </c>
      <c r="G57" s="26"/>
      <c r="H57" s="39">
        <v>0.32</v>
      </c>
      <c r="I57" s="39">
        <v>0.08</v>
      </c>
      <c r="J57" s="39">
        <v>0.1</v>
      </c>
      <c r="K57" s="37"/>
    </row>
    <row r="58" spans="2:11" ht="12.75">
      <c r="B58" s="38" t="s">
        <v>39</v>
      </c>
      <c r="C58" s="38"/>
      <c r="D58" s="26"/>
      <c r="E58" s="27"/>
      <c r="F58" s="39">
        <v>0.53</v>
      </c>
      <c r="G58" s="26"/>
      <c r="H58" s="39">
        <v>0.29</v>
      </c>
      <c r="I58" s="39">
        <v>0.08</v>
      </c>
      <c r="J58" s="39">
        <v>0.1</v>
      </c>
      <c r="K58" s="37"/>
    </row>
    <row r="59" spans="2:11" ht="12.75">
      <c r="B59" s="38" t="s">
        <v>40</v>
      </c>
      <c r="C59" s="38"/>
      <c r="D59" s="26"/>
      <c r="E59" s="27"/>
      <c r="F59" s="39">
        <v>0.56</v>
      </c>
      <c r="G59" s="26"/>
      <c r="H59" s="39">
        <v>0.29</v>
      </c>
      <c r="I59" s="39">
        <v>0.05</v>
      </c>
      <c r="J59" s="39">
        <v>0.1</v>
      </c>
      <c r="K59" s="37"/>
    </row>
    <row r="60" spans="2:11" ht="12.75">
      <c r="B60" s="38" t="s">
        <v>41</v>
      </c>
      <c r="C60" s="38"/>
      <c r="D60" s="26"/>
      <c r="E60" s="27"/>
      <c r="F60" s="39">
        <v>0.59</v>
      </c>
      <c r="G60" s="26"/>
      <c r="H60" s="39">
        <v>0.26</v>
      </c>
      <c r="I60" s="39">
        <v>0.05</v>
      </c>
      <c r="J60" s="39">
        <v>0.1</v>
      </c>
      <c r="K60" s="37"/>
    </row>
    <row r="61" ht="12.75">
      <c r="A61" s="24"/>
    </row>
    <row r="62" spans="1:11" s="23" customFormat="1" ht="12.75">
      <c r="A62" s="126" t="s">
        <v>44</v>
      </c>
      <c r="B62" s="127"/>
      <c r="C62" s="127"/>
      <c r="D62" s="127"/>
      <c r="E62" s="127"/>
      <c r="F62" s="127"/>
      <c r="G62" s="127"/>
      <c r="H62" s="127"/>
      <c r="I62" s="127"/>
      <c r="J62" s="127"/>
      <c r="K62" s="128"/>
    </row>
    <row r="63" spans="1:5" ht="12.75">
      <c r="A63" s="24"/>
      <c r="D63"/>
      <c r="E63" s="16"/>
    </row>
    <row r="64" spans="1:11" ht="51.75" customHeight="1">
      <c r="A64" s="129" t="s">
        <v>48</v>
      </c>
      <c r="B64" s="129"/>
      <c r="C64" s="129"/>
      <c r="D64" s="129"/>
      <c r="E64" s="129"/>
      <c r="F64" s="129"/>
      <c r="G64" s="129"/>
      <c r="H64" s="129"/>
      <c r="I64" s="129"/>
      <c r="J64" s="129"/>
      <c r="K64" s="129"/>
    </row>
    <row r="65" spans="1:5" ht="12.75">
      <c r="A65" s="16"/>
      <c r="D65"/>
      <c r="E65" s="16"/>
    </row>
    <row r="66" spans="2:4" ht="12.75">
      <c r="B66" s="24" t="s">
        <v>45</v>
      </c>
      <c r="C66" s="24"/>
      <c r="D66" s="16">
        <v>552730</v>
      </c>
    </row>
    <row r="67" spans="2:4" ht="12.75">
      <c r="B67" s="24" t="s">
        <v>46</v>
      </c>
      <c r="C67" s="24"/>
      <c r="D67" s="16">
        <v>1204343</v>
      </c>
    </row>
    <row r="68" spans="2:4" ht="12.75">
      <c r="B68" s="16" t="s">
        <v>47</v>
      </c>
      <c r="D68" s="16">
        <v>585691</v>
      </c>
    </row>
    <row r="69" ht="12.75">
      <c r="D69" s="16" t="s">
        <v>32</v>
      </c>
    </row>
    <row r="71" ht="12.75">
      <c r="A71" s="24" t="s">
        <v>34</v>
      </c>
    </row>
  </sheetData>
  <sheetProtection/>
  <mergeCells count="11">
    <mergeCell ref="A62:K62"/>
    <mergeCell ref="A64:K64"/>
    <mergeCell ref="A31:K31"/>
    <mergeCell ref="A53:K53"/>
    <mergeCell ref="H10:K10"/>
    <mergeCell ref="A8:K8"/>
    <mergeCell ref="A1:K1"/>
    <mergeCell ref="A2:K2"/>
    <mergeCell ref="A3:K3"/>
    <mergeCell ref="A5:K5"/>
    <mergeCell ref="A4:K4"/>
  </mergeCells>
  <hyperlinks>
    <hyperlink ref="A4" r:id="rId1" display="www.monticellogamingandraceway.com"/>
  </hyperlinks>
  <printOptions horizontalCentered="1"/>
  <pageMargins left="0.25" right="0.25" top="0.75" bottom="0.5" header="0.5" footer="0.5"/>
  <pageSetup fitToHeight="1" fitToWidth="1" horizontalDpi="600" verticalDpi="600" orientation="portrait" scale="78" r:id="rId3"/>
  <drawing r:id="rId2"/>
</worksheet>
</file>

<file path=xl/worksheets/sheet14.xml><?xml version="1.0" encoding="utf-8"?>
<worksheet xmlns="http://schemas.openxmlformats.org/spreadsheetml/2006/main" xmlns:r="http://schemas.openxmlformats.org/officeDocument/2006/relationships">
  <sheetPr>
    <pageSetUpPr fitToPage="1"/>
  </sheetPr>
  <dimension ref="A1:L63"/>
  <sheetViews>
    <sheetView zoomScalePageLayoutView="0" workbookViewId="0" topLeftCell="A1">
      <selection activeCell="B29" sqref="B29"/>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11" width="15.421875" style="16" customWidth="1"/>
    <col min="12" max="12" width="12.7109375" style="0" customWidth="1"/>
  </cols>
  <sheetData>
    <row r="1" spans="1:11" ht="17.25">
      <c r="A1" s="130" t="s">
        <v>55</v>
      </c>
      <c r="B1" s="130"/>
      <c r="C1" s="130"/>
      <c r="D1" s="130"/>
      <c r="E1" s="130"/>
      <c r="F1" s="130"/>
      <c r="G1" s="130"/>
      <c r="H1" s="130"/>
      <c r="I1" s="130"/>
      <c r="J1" s="130"/>
      <c r="K1" s="130"/>
    </row>
    <row r="2" spans="1:11" ht="15">
      <c r="A2" s="131" t="s">
        <v>0</v>
      </c>
      <c r="B2" s="131"/>
      <c r="C2" s="131"/>
      <c r="D2" s="131"/>
      <c r="E2" s="131"/>
      <c r="F2" s="131"/>
      <c r="G2" s="131"/>
      <c r="H2" s="131"/>
      <c r="I2" s="131"/>
      <c r="J2" s="131"/>
      <c r="K2" s="131"/>
    </row>
    <row r="3" spans="1:11" s="1" customFormat="1" ht="15">
      <c r="A3" s="131" t="s">
        <v>1</v>
      </c>
      <c r="B3" s="131"/>
      <c r="C3" s="131"/>
      <c r="D3" s="131"/>
      <c r="E3" s="131"/>
      <c r="F3" s="131"/>
      <c r="G3" s="131"/>
      <c r="H3" s="131"/>
      <c r="I3" s="131"/>
      <c r="J3" s="131"/>
      <c r="K3" s="131"/>
    </row>
    <row r="4" spans="1:11" s="1" customFormat="1" ht="13.5">
      <c r="A4" s="133" t="s">
        <v>2</v>
      </c>
      <c r="B4" s="133"/>
      <c r="C4" s="133"/>
      <c r="D4" s="133"/>
      <c r="E4" s="133"/>
      <c r="F4" s="133"/>
      <c r="G4" s="133"/>
      <c r="H4" s="133"/>
      <c r="I4" s="133"/>
      <c r="J4" s="133"/>
      <c r="K4" s="133"/>
    </row>
    <row r="5" spans="1:11" s="1" customFormat="1" ht="13.5">
      <c r="A5" s="132" t="s">
        <v>3</v>
      </c>
      <c r="B5" s="132"/>
      <c r="C5" s="132"/>
      <c r="D5" s="132"/>
      <c r="E5" s="132"/>
      <c r="F5" s="132"/>
      <c r="G5" s="132"/>
      <c r="H5" s="132"/>
      <c r="I5" s="132"/>
      <c r="J5" s="132"/>
      <c r="K5" s="132"/>
    </row>
    <row r="6" spans="1:11" s="1" customFormat="1" ht="13.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123" t="s">
        <v>42</v>
      </c>
      <c r="B8" s="124"/>
      <c r="C8" s="124"/>
      <c r="D8" s="124"/>
      <c r="E8" s="124"/>
      <c r="F8" s="124"/>
      <c r="G8" s="124"/>
      <c r="H8" s="124"/>
      <c r="I8" s="124"/>
      <c r="J8" s="124"/>
      <c r="K8" s="125"/>
    </row>
    <row r="9" spans="1:11" s="1" customFormat="1" ht="9" customHeight="1">
      <c r="A9" s="3"/>
      <c r="B9" s="4"/>
      <c r="C9" s="4"/>
      <c r="D9" s="5"/>
      <c r="E9" s="6"/>
      <c r="F9" s="5"/>
      <c r="G9" s="5"/>
      <c r="H9" s="5"/>
      <c r="I9" s="5"/>
      <c r="J9" s="5"/>
      <c r="K9" s="5"/>
    </row>
    <row r="10" spans="1:11" s="1" customFormat="1" ht="12.75">
      <c r="A10" s="3"/>
      <c r="B10" s="5"/>
      <c r="C10" s="5"/>
      <c r="D10" s="5"/>
      <c r="E10" s="6"/>
      <c r="F10" s="5"/>
      <c r="G10" s="5"/>
      <c r="H10" s="122" t="s">
        <v>5</v>
      </c>
      <c r="I10" s="122"/>
      <c r="J10" s="122"/>
      <c r="K10" s="122"/>
    </row>
    <row r="11" spans="1:11" s="1" customFormat="1" ht="7.5" customHeight="1">
      <c r="A11" s="3"/>
      <c r="B11" s="5"/>
      <c r="C11" s="5"/>
      <c r="D11" s="5"/>
      <c r="E11" s="6"/>
      <c r="F11" s="5"/>
      <c r="G11" s="5"/>
      <c r="H11" s="5"/>
      <c r="I11" s="5"/>
      <c r="J11" s="5"/>
      <c r="K11" s="5"/>
    </row>
    <row r="12" spans="1:11" s="12" customFormat="1" ht="12">
      <c r="A12" s="9"/>
      <c r="B12" s="10" t="s">
        <v>6</v>
      </c>
      <c r="C12" s="10" t="s">
        <v>6</v>
      </c>
      <c r="D12" s="10"/>
      <c r="E12" s="11" t="s">
        <v>7</v>
      </c>
      <c r="F12" s="10" t="s">
        <v>8</v>
      </c>
      <c r="G12" s="10"/>
      <c r="H12" s="10" t="s">
        <v>9</v>
      </c>
      <c r="I12" s="10" t="s">
        <v>74</v>
      </c>
      <c r="J12" s="10" t="s">
        <v>10</v>
      </c>
      <c r="K12" s="10" t="s">
        <v>75</v>
      </c>
    </row>
    <row r="13" spans="1:11" s="12" customFormat="1" ht="12">
      <c r="A13" s="13" t="s">
        <v>11</v>
      </c>
      <c r="B13" s="8" t="s">
        <v>12</v>
      </c>
      <c r="C13" s="8" t="s">
        <v>13</v>
      </c>
      <c r="D13" s="8" t="s">
        <v>14</v>
      </c>
      <c r="E13" s="14" t="s">
        <v>15</v>
      </c>
      <c r="F13" s="8" t="s">
        <v>16</v>
      </c>
      <c r="G13" s="15"/>
      <c r="H13" s="8" t="s">
        <v>17</v>
      </c>
      <c r="I13" s="8" t="s">
        <v>18</v>
      </c>
      <c r="J13" s="8" t="s">
        <v>19</v>
      </c>
      <c r="K13" s="8" t="s">
        <v>76</v>
      </c>
    </row>
    <row r="15" spans="1:11" ht="12.75">
      <c r="A15" s="3">
        <v>38808</v>
      </c>
      <c r="B15" s="16">
        <v>84534554.50999999</v>
      </c>
      <c r="C15" s="16">
        <f aca="true" t="shared" si="0" ref="C15:C26">B15-D15</f>
        <v>78065203.67999999</v>
      </c>
      <c r="D15" s="16">
        <v>6469350.830000002</v>
      </c>
      <c r="E15" s="17">
        <f>47280/30</f>
        <v>1576</v>
      </c>
      <c r="F15" s="16">
        <v>136.83060131133675</v>
      </c>
      <c r="H15" s="16">
        <v>3234675.415000001</v>
      </c>
      <c r="I15" s="16">
        <f>D15-H15-J15-K15</f>
        <v>2070192.2656000005</v>
      </c>
      <c r="J15" s="16">
        <f aca="true" t="shared" si="1" ref="J15:J26">D15*0.08</f>
        <v>517548.0664000002</v>
      </c>
      <c r="K15" s="16">
        <f aca="true" t="shared" si="2" ref="K15:K26">D15*0.1</f>
        <v>646935.0830000002</v>
      </c>
    </row>
    <row r="16" spans="1:11" ht="12.75">
      <c r="A16" s="3">
        <v>38838</v>
      </c>
      <c r="B16" s="16">
        <v>87289661.71999998</v>
      </c>
      <c r="C16" s="16">
        <f t="shared" si="0"/>
        <v>80469813.18999998</v>
      </c>
      <c r="D16" s="16">
        <v>6819848.53</v>
      </c>
      <c r="E16" s="17">
        <f>48856/31</f>
        <v>1576</v>
      </c>
      <c r="F16" s="16">
        <v>139.59080829376126</v>
      </c>
      <c r="H16" s="16">
        <v>3409924.265</v>
      </c>
      <c r="I16" s="16">
        <f aca="true" t="shared" si="3" ref="I16:I26">D16-H16-J16-K16</f>
        <v>2182351.5296</v>
      </c>
      <c r="J16" s="16">
        <f t="shared" si="1"/>
        <v>545587.8824</v>
      </c>
      <c r="K16" s="16">
        <f t="shared" si="2"/>
        <v>681984.8530000001</v>
      </c>
    </row>
    <row r="17" spans="1:11" ht="12.75">
      <c r="A17" s="3">
        <v>38869</v>
      </c>
      <c r="B17" s="16">
        <v>85523056.08000001</v>
      </c>
      <c r="C17" s="16">
        <f t="shared" si="0"/>
        <v>78987360.55000001</v>
      </c>
      <c r="D17" s="16">
        <v>6535695.530000001</v>
      </c>
      <c r="E17" s="17">
        <f>47280/30</f>
        <v>1576</v>
      </c>
      <c r="F17" s="16">
        <v>138.2338310067682</v>
      </c>
      <c r="H17" s="16">
        <v>3267847.7650000006</v>
      </c>
      <c r="I17" s="16">
        <f t="shared" si="3"/>
        <v>2091422.5696</v>
      </c>
      <c r="J17" s="16">
        <f t="shared" si="1"/>
        <v>522855.6424000001</v>
      </c>
      <c r="K17" s="16">
        <f t="shared" si="2"/>
        <v>653569.5530000002</v>
      </c>
    </row>
    <row r="18" spans="1:11" ht="12.75">
      <c r="A18" s="3">
        <v>38899</v>
      </c>
      <c r="B18" s="16">
        <v>110047314.07999998</v>
      </c>
      <c r="C18" s="16">
        <f t="shared" si="0"/>
        <v>101679235.38999999</v>
      </c>
      <c r="D18" s="16">
        <v>8368078.690000002</v>
      </c>
      <c r="E18" s="17">
        <f>48856/31</f>
        <v>1576</v>
      </c>
      <c r="F18" s="16">
        <v>171.28047097592932</v>
      </c>
      <c r="H18" s="16">
        <v>4184039.345000001</v>
      </c>
      <c r="I18" s="16">
        <f t="shared" si="3"/>
        <v>2677785.1808000007</v>
      </c>
      <c r="J18" s="16">
        <f t="shared" si="1"/>
        <v>669446.2952000002</v>
      </c>
      <c r="K18" s="16">
        <f t="shared" si="2"/>
        <v>836807.8690000003</v>
      </c>
    </row>
    <row r="19" spans="1:11" ht="12.75">
      <c r="A19" s="3">
        <v>38930</v>
      </c>
      <c r="B19" s="16">
        <v>99857552.06</v>
      </c>
      <c r="C19" s="16">
        <f t="shared" si="0"/>
        <v>92003536.46000001</v>
      </c>
      <c r="D19" s="16">
        <v>7854015.6</v>
      </c>
      <c r="E19" s="17">
        <f>49109/31</f>
        <v>1584.1612903225807</v>
      </c>
      <c r="F19" s="16">
        <v>159.93026940072085</v>
      </c>
      <c r="H19" s="16">
        <v>3927007.8</v>
      </c>
      <c r="I19" s="16">
        <f t="shared" si="3"/>
        <v>2513284.9919999996</v>
      </c>
      <c r="J19" s="16">
        <f t="shared" si="1"/>
        <v>628321.248</v>
      </c>
      <c r="K19" s="16">
        <f t="shared" si="2"/>
        <v>785401.56</v>
      </c>
    </row>
    <row r="20" spans="1:11" ht="12.75">
      <c r="A20" s="3">
        <v>38961</v>
      </c>
      <c r="B20" s="16">
        <v>91807607.27000001</v>
      </c>
      <c r="C20" s="16">
        <f t="shared" si="0"/>
        <v>84815254.94000001</v>
      </c>
      <c r="D20" s="16">
        <v>6992352.33</v>
      </c>
      <c r="E20" s="17">
        <f>47610/30</f>
        <v>1587</v>
      </c>
      <c r="F20" s="16">
        <v>146.86730371770636</v>
      </c>
      <c r="H20" s="16">
        <v>3496176.165</v>
      </c>
      <c r="I20" s="16">
        <f t="shared" si="3"/>
        <v>2237552.7456</v>
      </c>
      <c r="J20" s="16">
        <f t="shared" si="1"/>
        <v>559388.1864</v>
      </c>
      <c r="K20" s="16">
        <f t="shared" si="2"/>
        <v>699235.233</v>
      </c>
    </row>
    <row r="21" spans="1:11" ht="12.75">
      <c r="A21" s="3">
        <v>38991</v>
      </c>
      <c r="B21" s="16">
        <v>78862143.13000001</v>
      </c>
      <c r="C21" s="16">
        <f t="shared" si="0"/>
        <v>72708579.48</v>
      </c>
      <c r="D21" s="16">
        <v>6153563.649999999</v>
      </c>
      <c r="E21" s="17">
        <f>49197/31</f>
        <v>1587</v>
      </c>
      <c r="F21" s="16">
        <v>125.0800587434193</v>
      </c>
      <c r="H21" s="16">
        <v>3076781.875</v>
      </c>
      <c r="I21" s="16">
        <f t="shared" si="3"/>
        <v>1969140.3179999993</v>
      </c>
      <c r="J21" s="16">
        <f t="shared" si="1"/>
        <v>492285.09199999995</v>
      </c>
      <c r="K21" s="16">
        <f t="shared" si="2"/>
        <v>615356.365</v>
      </c>
    </row>
    <row r="22" spans="1:11" ht="12.75">
      <c r="A22" s="3">
        <v>39022</v>
      </c>
      <c r="B22" s="16">
        <v>68038934.85</v>
      </c>
      <c r="C22" s="16">
        <f t="shared" si="0"/>
        <v>62857873.13999999</v>
      </c>
      <c r="D22" s="16">
        <v>5181061.71</v>
      </c>
      <c r="E22" s="17">
        <f>47610/30</f>
        <v>1587</v>
      </c>
      <c r="F22" s="16">
        <v>108.8229722747322</v>
      </c>
      <c r="H22" s="16">
        <v>2721749.86</v>
      </c>
      <c r="I22" s="16">
        <f t="shared" si="3"/>
        <v>1526720.7422</v>
      </c>
      <c r="J22" s="16">
        <f t="shared" si="1"/>
        <v>414484.9368</v>
      </c>
      <c r="K22" s="16">
        <f t="shared" si="2"/>
        <v>518106.17100000003</v>
      </c>
    </row>
    <row r="23" spans="1:11" ht="12.75">
      <c r="A23" s="3">
        <v>39052</v>
      </c>
      <c r="B23" s="16">
        <v>62543384.59000001</v>
      </c>
      <c r="C23" s="16">
        <f t="shared" si="0"/>
        <v>57706789.98000001</v>
      </c>
      <c r="D23" s="16">
        <v>4836594.61</v>
      </c>
      <c r="E23" s="17">
        <f>49197/31</f>
        <v>1587</v>
      </c>
      <c r="F23" s="16">
        <v>98.31076305465781</v>
      </c>
      <c r="H23" s="16">
        <v>2563395.16</v>
      </c>
      <c r="I23" s="16">
        <f t="shared" si="3"/>
        <v>1402612.4202</v>
      </c>
      <c r="J23" s="16">
        <f t="shared" si="1"/>
        <v>386927.5688</v>
      </c>
      <c r="K23" s="16">
        <f t="shared" si="2"/>
        <v>483659.46100000007</v>
      </c>
    </row>
    <row r="24" spans="1:11" ht="12.75">
      <c r="A24" s="3">
        <v>39083</v>
      </c>
      <c r="B24" s="16">
        <v>61265080.26</v>
      </c>
      <c r="C24" s="16">
        <f t="shared" si="0"/>
        <v>56374898.379999995</v>
      </c>
      <c r="D24" s="16">
        <v>4890181.88</v>
      </c>
      <c r="E24" s="17">
        <f>49197/31</f>
        <v>1587</v>
      </c>
      <c r="F24" s="16">
        <v>99.40000162611537</v>
      </c>
      <c r="H24" s="16">
        <v>2591796.4</v>
      </c>
      <c r="I24" s="16">
        <f t="shared" si="3"/>
        <v>1418152.7415999998</v>
      </c>
      <c r="J24" s="16">
        <f t="shared" si="1"/>
        <v>391214.5504</v>
      </c>
      <c r="K24" s="16">
        <f t="shared" si="2"/>
        <v>489018.188</v>
      </c>
    </row>
    <row r="25" spans="1:11" ht="12.75">
      <c r="A25" s="3">
        <v>39114</v>
      </c>
      <c r="B25" s="16">
        <v>57625433.12000001</v>
      </c>
      <c r="C25" s="16">
        <f t="shared" si="0"/>
        <v>53158995.12000001</v>
      </c>
      <c r="D25" s="16">
        <v>4466438</v>
      </c>
      <c r="E25" s="17">
        <f>44436/28</f>
        <v>1587</v>
      </c>
      <c r="F25" s="16">
        <v>100.51395265100369</v>
      </c>
      <c r="H25" s="16">
        <v>2367212.15</v>
      </c>
      <c r="I25" s="16">
        <f t="shared" si="3"/>
        <v>1295267.01</v>
      </c>
      <c r="J25" s="16">
        <f t="shared" si="1"/>
        <v>357315.04</v>
      </c>
      <c r="K25" s="16">
        <f t="shared" si="2"/>
        <v>446643.80000000005</v>
      </c>
    </row>
    <row r="26" spans="1:11" ht="12.75">
      <c r="A26" s="3">
        <v>39142</v>
      </c>
      <c r="B26" s="16">
        <v>73394737.94000001</v>
      </c>
      <c r="C26" s="16">
        <f t="shared" si="0"/>
        <v>67634079.73000002</v>
      </c>
      <c r="D26" s="16">
        <v>5760658.210000001</v>
      </c>
      <c r="E26" s="17">
        <f>49197/31</f>
        <v>1587</v>
      </c>
      <c r="F26" s="16">
        <v>117.09368884281564</v>
      </c>
      <c r="H26" s="16">
        <v>3053148.86</v>
      </c>
      <c r="I26" s="16">
        <f t="shared" si="3"/>
        <v>1670590.872200001</v>
      </c>
      <c r="J26" s="16">
        <f t="shared" si="1"/>
        <v>460852.65680000006</v>
      </c>
      <c r="K26" s="16">
        <f t="shared" si="2"/>
        <v>576065.8210000001</v>
      </c>
    </row>
    <row r="27" spans="1:11" ht="13.5" thickBot="1">
      <c r="A27" s="3" t="s">
        <v>20</v>
      </c>
      <c r="B27" s="18">
        <f>SUM(B15:B26)</f>
        <v>960789459.6100001</v>
      </c>
      <c r="C27" s="18">
        <f>SUM(C15:C26)</f>
        <v>886461620.04</v>
      </c>
      <c r="D27" s="18">
        <f>SUM(D15:D26)</f>
        <v>74327839.57000002</v>
      </c>
      <c r="H27" s="18">
        <f>SUM(H15:H26)</f>
        <v>37893755.06</v>
      </c>
      <c r="I27" s="18">
        <f>SUM(I15:I26)</f>
        <v>23055073.3874</v>
      </c>
      <c r="J27" s="18">
        <f>SUM(J15:J26)</f>
        <v>5946227.165600001</v>
      </c>
      <c r="K27" s="18">
        <f>SUM(K15:K26)</f>
        <v>7432783.957000001</v>
      </c>
    </row>
    <row r="28" spans="2:11" ht="10.5" customHeight="1" thickTop="1">
      <c r="B28" s="19"/>
      <c r="C28" s="19"/>
      <c r="D28" s="19"/>
      <c r="H28" s="19"/>
      <c r="I28" s="19"/>
      <c r="J28" s="19"/>
      <c r="K28" s="19"/>
    </row>
    <row r="29" spans="1:11" s="22" customFormat="1" ht="12.75">
      <c r="A29" s="20"/>
      <c r="B29" s="21"/>
      <c r="C29" s="21">
        <f>C27/B27</f>
        <v>0.9226387854003196</v>
      </c>
      <c r="D29" s="21">
        <f>D27/B27</f>
        <v>0.07736121459968023</v>
      </c>
      <c r="H29" s="21">
        <f>H27/$D$27</f>
        <v>0.5098191374755706</v>
      </c>
      <c r="I29" s="21">
        <f>I27/$D$27</f>
        <v>0.3101808625244291</v>
      </c>
      <c r="J29" s="21">
        <f>J27/$D$27</f>
        <v>0.07999999999999999</v>
      </c>
      <c r="K29" s="21">
        <f>K27/$D$27</f>
        <v>0.09999999999999999</v>
      </c>
    </row>
    <row r="31" spans="1:11" s="23" customFormat="1" ht="12.75">
      <c r="A31" s="123" t="s">
        <v>21</v>
      </c>
      <c r="B31" s="124"/>
      <c r="C31" s="124"/>
      <c r="D31" s="124"/>
      <c r="E31" s="124"/>
      <c r="F31" s="124"/>
      <c r="G31" s="124"/>
      <c r="H31" s="124"/>
      <c r="I31" s="124"/>
      <c r="J31" s="124"/>
      <c r="K31" s="125"/>
    </row>
    <row r="32" ht="12.75">
      <c r="A32" s="24"/>
    </row>
    <row r="33" spans="1:12" s="45" customFormat="1" ht="12.75" customHeight="1">
      <c r="A33" s="41" t="s">
        <v>22</v>
      </c>
      <c r="B33" s="42"/>
      <c r="C33" s="43" t="s">
        <v>86</v>
      </c>
      <c r="D33" s="44"/>
      <c r="E33" s="44"/>
      <c r="F33" s="44"/>
      <c r="G33" s="44"/>
      <c r="H33" s="44"/>
      <c r="I33" s="44"/>
      <c r="J33" s="44"/>
      <c r="K33" s="44"/>
      <c r="L33" s="44"/>
    </row>
    <row r="34" spans="1:12" s="45" customFormat="1" ht="12.75" customHeight="1">
      <c r="A34" s="41"/>
      <c r="B34" s="42"/>
      <c r="C34" s="43" t="s">
        <v>87</v>
      </c>
      <c r="D34" s="44"/>
      <c r="E34" s="44"/>
      <c r="F34" s="44"/>
      <c r="G34" s="44"/>
      <c r="H34" s="44"/>
      <c r="I34" s="44"/>
      <c r="J34" s="44"/>
      <c r="K34" s="44"/>
      <c r="L34" s="44"/>
    </row>
    <row r="35" spans="1:11" ht="6" customHeight="1">
      <c r="A35" s="25"/>
      <c r="B35" s="26"/>
      <c r="C35" s="26"/>
      <c r="E35" s="26"/>
      <c r="F35" s="26"/>
      <c r="G35" s="26"/>
      <c r="H35" s="26"/>
      <c r="I35" s="26"/>
      <c r="J35" s="26"/>
      <c r="K35" s="26"/>
    </row>
    <row r="36" spans="1:11" ht="12.75">
      <c r="A36" s="25" t="s">
        <v>23</v>
      </c>
      <c r="B36" s="26"/>
      <c r="C36" s="26" t="s">
        <v>24</v>
      </c>
      <c r="E36" s="26"/>
      <c r="F36" s="26"/>
      <c r="G36" s="26"/>
      <c r="H36" s="26"/>
      <c r="I36" s="26"/>
      <c r="J36" s="26"/>
      <c r="K36" s="26"/>
    </row>
    <row r="37" spans="1:11" ht="6" customHeight="1">
      <c r="A37" s="25"/>
      <c r="B37" s="26"/>
      <c r="C37" s="26"/>
      <c r="E37" s="26"/>
      <c r="F37" s="26"/>
      <c r="G37" s="26"/>
      <c r="H37" s="26"/>
      <c r="I37" s="26"/>
      <c r="J37" s="26"/>
      <c r="K37" s="26"/>
    </row>
    <row r="38" spans="1:11" ht="12.75">
      <c r="A38" s="25" t="s">
        <v>25</v>
      </c>
      <c r="B38" s="26"/>
      <c r="C38" s="26" t="s">
        <v>26</v>
      </c>
      <c r="E38" s="27"/>
      <c r="F38" s="26"/>
      <c r="G38" s="26"/>
      <c r="H38" s="26"/>
      <c r="I38" s="26"/>
      <c r="J38" s="26"/>
      <c r="K38" s="26"/>
    </row>
    <row r="39" spans="1:11" ht="12.75">
      <c r="A39" s="25"/>
      <c r="B39" s="26"/>
      <c r="C39" s="26" t="s">
        <v>27</v>
      </c>
      <c r="E39" s="27"/>
      <c r="F39" s="26"/>
      <c r="G39" s="26"/>
      <c r="H39" s="26"/>
      <c r="I39" s="26"/>
      <c r="J39" s="26"/>
      <c r="K39" s="26"/>
    </row>
    <row r="40" spans="1:11" ht="6" customHeight="1">
      <c r="A40" s="25"/>
      <c r="B40" s="26"/>
      <c r="C40" s="26"/>
      <c r="E40" s="27"/>
      <c r="F40" s="26"/>
      <c r="G40" s="26"/>
      <c r="H40" s="26"/>
      <c r="I40" s="26"/>
      <c r="J40" s="26"/>
      <c r="K40" s="26"/>
    </row>
    <row r="41" spans="1:11" ht="12.75">
      <c r="A41" s="25" t="s">
        <v>28</v>
      </c>
      <c r="B41" s="26"/>
      <c r="C41" s="26" t="s">
        <v>29</v>
      </c>
      <c r="E41" s="27"/>
      <c r="F41" s="26"/>
      <c r="G41" s="26"/>
      <c r="H41" s="26"/>
      <c r="I41" s="26"/>
      <c r="J41" s="26"/>
      <c r="K41" s="26"/>
    </row>
    <row r="42" spans="1:11" ht="6" customHeight="1">
      <c r="A42" s="25"/>
      <c r="B42" s="26"/>
      <c r="C42" s="26"/>
      <c r="E42" s="27"/>
      <c r="F42" s="26"/>
      <c r="G42" s="26"/>
      <c r="H42" s="26"/>
      <c r="I42" s="26"/>
      <c r="J42" s="26"/>
      <c r="K42" s="26"/>
    </row>
    <row r="43" spans="1:12" s="45" customFormat="1" ht="12.75">
      <c r="A43" s="41" t="s">
        <v>67</v>
      </c>
      <c r="B43" s="42"/>
      <c r="C43" s="42" t="s">
        <v>68</v>
      </c>
      <c r="D43" s="46"/>
      <c r="E43" s="47"/>
      <c r="F43" s="42"/>
      <c r="G43" s="42"/>
      <c r="H43" s="42"/>
      <c r="I43" s="42"/>
      <c r="J43" s="42"/>
      <c r="K43" s="42"/>
      <c r="L43" s="42"/>
    </row>
    <row r="44" spans="1:12" s="45" customFormat="1" ht="12.75">
      <c r="A44" s="41"/>
      <c r="B44" s="42"/>
      <c r="C44" s="42" t="s">
        <v>77</v>
      </c>
      <c r="D44" s="46"/>
      <c r="E44" s="47"/>
      <c r="F44" s="42"/>
      <c r="G44" s="42"/>
      <c r="H44" s="42"/>
      <c r="I44" s="42"/>
      <c r="J44" s="42"/>
      <c r="K44" s="42"/>
      <c r="L44" s="42"/>
    </row>
    <row r="45" spans="1:12" s="45" customFormat="1" ht="12.75">
      <c r="A45" s="41"/>
      <c r="B45" s="42"/>
      <c r="C45" s="42" t="s">
        <v>78</v>
      </c>
      <c r="D45" s="46"/>
      <c r="E45" s="47"/>
      <c r="F45" s="42"/>
      <c r="G45" s="42"/>
      <c r="H45" s="42"/>
      <c r="I45" s="42"/>
      <c r="J45" s="42"/>
      <c r="K45" s="42"/>
      <c r="L45" s="42"/>
    </row>
    <row r="46" spans="1:11" ht="6" customHeight="1">
      <c r="A46" s="25"/>
      <c r="B46" s="26"/>
      <c r="C46" s="26"/>
      <c r="E46" s="27"/>
      <c r="F46" s="26"/>
      <c r="G46" s="26"/>
      <c r="H46" s="26"/>
      <c r="I46" s="26"/>
      <c r="J46" s="26"/>
      <c r="K46" s="26"/>
    </row>
    <row r="47" spans="1:12" s="45" customFormat="1" ht="12.75">
      <c r="A47" s="41" t="s">
        <v>30</v>
      </c>
      <c r="B47" s="42"/>
      <c r="C47" s="42" t="s">
        <v>69</v>
      </c>
      <c r="D47" s="46"/>
      <c r="E47" s="47"/>
      <c r="F47" s="42"/>
      <c r="G47" s="42"/>
      <c r="H47" s="42"/>
      <c r="I47" s="42"/>
      <c r="J47" s="42"/>
      <c r="K47" s="42"/>
      <c r="L47" s="42"/>
    </row>
    <row r="48" spans="1:12" s="45" customFormat="1" ht="12.75">
      <c r="A48" s="41"/>
      <c r="B48" s="42"/>
      <c r="C48" s="42" t="s">
        <v>70</v>
      </c>
      <c r="D48" s="46"/>
      <c r="E48" s="47"/>
      <c r="F48" s="42"/>
      <c r="G48" s="42"/>
      <c r="H48" s="42"/>
      <c r="I48" s="42"/>
      <c r="J48" s="42"/>
      <c r="K48" s="42"/>
      <c r="L48" s="42"/>
    </row>
    <row r="49" spans="1:11" ht="6" customHeight="1">
      <c r="A49" s="25"/>
      <c r="B49" s="26"/>
      <c r="C49" s="26"/>
      <c r="E49" s="27"/>
      <c r="F49" s="26"/>
      <c r="G49" s="26"/>
      <c r="H49" s="26"/>
      <c r="I49" s="26"/>
      <c r="J49" s="26"/>
      <c r="K49" s="26"/>
    </row>
    <row r="50" spans="1:12" s="45" customFormat="1" ht="12.75">
      <c r="A50" s="41" t="s">
        <v>71</v>
      </c>
      <c r="B50" s="42"/>
      <c r="C50" s="42" t="s">
        <v>72</v>
      </c>
      <c r="D50" s="46"/>
      <c r="E50" s="47"/>
      <c r="F50" s="42"/>
      <c r="G50" s="42"/>
      <c r="H50" s="42"/>
      <c r="I50" s="42"/>
      <c r="J50" s="42"/>
      <c r="K50" s="42"/>
      <c r="L50" s="42"/>
    </row>
    <row r="51" spans="1:12" s="45" customFormat="1" ht="12.75">
      <c r="A51" s="48"/>
      <c r="B51" s="42"/>
      <c r="C51" s="42" t="s">
        <v>73</v>
      </c>
      <c r="D51" s="46"/>
      <c r="E51" s="47"/>
      <c r="F51" s="42"/>
      <c r="G51" s="42"/>
      <c r="H51" s="42"/>
      <c r="I51" s="42"/>
      <c r="J51" s="42"/>
      <c r="K51" s="42"/>
      <c r="L51" s="42"/>
    </row>
    <row r="52" spans="1:11" ht="12.75">
      <c r="A52" s="28"/>
      <c r="B52" s="29"/>
      <c r="C52" s="29"/>
      <c r="D52" s="29"/>
      <c r="E52" s="30"/>
      <c r="F52" s="29"/>
      <c r="G52" s="29"/>
      <c r="H52" s="29"/>
      <c r="I52" s="29"/>
      <c r="J52" s="29"/>
      <c r="K52" s="29"/>
    </row>
    <row r="53" spans="1:11" s="23" customFormat="1" ht="12.75">
      <c r="A53" s="123" t="s">
        <v>31</v>
      </c>
      <c r="B53" s="124"/>
      <c r="C53" s="124"/>
      <c r="D53" s="124"/>
      <c r="E53" s="124"/>
      <c r="F53" s="124"/>
      <c r="G53" s="124"/>
      <c r="H53" s="124"/>
      <c r="I53" s="124"/>
      <c r="J53" s="124"/>
      <c r="K53" s="125"/>
    </row>
    <row r="54" ht="12.75">
      <c r="A54" s="24"/>
    </row>
    <row r="55" spans="1:11" ht="13.5">
      <c r="A55" s="31"/>
      <c r="F55" s="10" t="s">
        <v>9</v>
      </c>
      <c r="G55" s="32"/>
      <c r="H55" s="10" t="s">
        <v>74</v>
      </c>
      <c r="I55" s="10" t="s">
        <v>10</v>
      </c>
      <c r="J55" s="53" t="s">
        <v>75</v>
      </c>
      <c r="K55" s="33"/>
    </row>
    <row r="56" spans="1:11" ht="12.75">
      <c r="A56" s="34"/>
      <c r="F56" s="8" t="s">
        <v>17</v>
      </c>
      <c r="G56" s="35"/>
      <c r="H56" s="8" t="s">
        <v>18</v>
      </c>
      <c r="I56" s="8" t="s">
        <v>19</v>
      </c>
      <c r="J56" s="54" t="s">
        <v>76</v>
      </c>
      <c r="K56" s="33"/>
    </row>
    <row r="57" spans="2:11" ht="12.75">
      <c r="B57" s="38" t="s">
        <v>38</v>
      </c>
      <c r="C57" s="38"/>
      <c r="D57" s="26"/>
      <c r="E57" s="27"/>
      <c r="F57" s="39">
        <v>0.5</v>
      </c>
      <c r="G57" s="26"/>
      <c r="H57" s="39">
        <v>0.32</v>
      </c>
      <c r="I57" s="39">
        <v>0.08</v>
      </c>
      <c r="J57" s="39">
        <v>0.1</v>
      </c>
      <c r="K57" s="37"/>
    </row>
    <row r="58" spans="2:11" ht="12.75">
      <c r="B58" s="38" t="s">
        <v>39</v>
      </c>
      <c r="C58" s="38"/>
      <c r="D58" s="26"/>
      <c r="E58" s="27"/>
      <c r="F58" s="39">
        <v>0.53</v>
      </c>
      <c r="G58" s="26"/>
      <c r="H58" s="39">
        <v>0.29</v>
      </c>
      <c r="I58" s="39">
        <v>0.08</v>
      </c>
      <c r="J58" s="39">
        <v>0.1</v>
      </c>
      <c r="K58" s="37"/>
    </row>
    <row r="59" spans="2:11" ht="12.75">
      <c r="B59" s="38" t="s">
        <v>40</v>
      </c>
      <c r="C59" s="38"/>
      <c r="D59" s="26"/>
      <c r="E59" s="27"/>
      <c r="F59" s="39">
        <v>0.56</v>
      </c>
      <c r="G59" s="26"/>
      <c r="H59" s="39">
        <v>0.29</v>
      </c>
      <c r="I59" s="39">
        <v>0.05</v>
      </c>
      <c r="J59" s="39">
        <v>0.1</v>
      </c>
      <c r="K59" s="37"/>
    </row>
    <row r="60" spans="2:11" ht="12.75">
      <c r="B60" s="38" t="s">
        <v>41</v>
      </c>
      <c r="C60" s="38"/>
      <c r="D60" s="26"/>
      <c r="E60" s="27"/>
      <c r="F60" s="39">
        <v>0.59</v>
      </c>
      <c r="G60" s="26"/>
      <c r="H60" s="39">
        <v>0.26</v>
      </c>
      <c r="I60" s="39">
        <v>0.05</v>
      </c>
      <c r="J60" s="39">
        <v>0.1</v>
      </c>
      <c r="K60" s="37"/>
    </row>
    <row r="61" ht="12.75">
      <c r="A61" s="24"/>
    </row>
    <row r="63" ht="12.75">
      <c r="A63" s="24" t="s">
        <v>34</v>
      </c>
    </row>
  </sheetData>
  <sheetProtection/>
  <mergeCells count="9">
    <mergeCell ref="A53:K53"/>
    <mergeCell ref="H10:K10"/>
    <mergeCell ref="A8:K8"/>
    <mergeCell ref="A1:K1"/>
    <mergeCell ref="A2:K2"/>
    <mergeCell ref="A3:K3"/>
    <mergeCell ref="A5:K5"/>
    <mergeCell ref="A4:K4"/>
    <mergeCell ref="A31:K31"/>
  </mergeCells>
  <hyperlinks>
    <hyperlink ref="A4" r:id="rId1" display="www.monticellogamingandraceway.com"/>
  </hyperlinks>
  <printOptions horizontalCentered="1"/>
  <pageMargins left="0.25" right="0.25" top="0.75" bottom="0.5" header="0.5" footer="0.5"/>
  <pageSetup fitToHeight="1" fitToWidth="1" horizontalDpi="600" verticalDpi="600" orientation="portrait" scale="77" r:id="rId3"/>
  <drawing r:id="rId2"/>
</worksheet>
</file>

<file path=xl/worksheets/sheet15.xml><?xml version="1.0" encoding="utf-8"?>
<worksheet xmlns="http://schemas.openxmlformats.org/spreadsheetml/2006/main" xmlns:r="http://schemas.openxmlformats.org/officeDocument/2006/relationships">
  <sheetPr>
    <pageSetUpPr fitToPage="1"/>
  </sheetPr>
  <dimension ref="A1:L67"/>
  <sheetViews>
    <sheetView zoomScalePageLayoutView="0" workbookViewId="0" topLeftCell="A1">
      <selection activeCell="G28" sqref="G28"/>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11" width="14.57421875" style="16" customWidth="1"/>
    <col min="12" max="12" width="12.7109375" style="0" customWidth="1"/>
  </cols>
  <sheetData>
    <row r="1" spans="1:11" ht="17.25">
      <c r="A1" s="130" t="s">
        <v>55</v>
      </c>
      <c r="B1" s="130"/>
      <c r="C1" s="130"/>
      <c r="D1" s="130"/>
      <c r="E1" s="130"/>
      <c r="F1" s="130"/>
      <c r="G1" s="130"/>
      <c r="H1" s="130"/>
      <c r="I1" s="130"/>
      <c r="J1" s="130"/>
      <c r="K1" s="130"/>
    </row>
    <row r="2" spans="1:11" ht="15">
      <c r="A2" s="131" t="s">
        <v>0</v>
      </c>
      <c r="B2" s="131"/>
      <c r="C2" s="131"/>
      <c r="D2" s="131"/>
      <c r="E2" s="131"/>
      <c r="F2" s="131"/>
      <c r="G2" s="131"/>
      <c r="H2" s="131"/>
      <c r="I2" s="131"/>
      <c r="J2" s="131"/>
      <c r="K2" s="131"/>
    </row>
    <row r="3" spans="1:11" s="1" customFormat="1" ht="15">
      <c r="A3" s="131" t="s">
        <v>1</v>
      </c>
      <c r="B3" s="131"/>
      <c r="C3" s="131"/>
      <c r="D3" s="131"/>
      <c r="E3" s="131"/>
      <c r="F3" s="131"/>
      <c r="G3" s="131"/>
      <c r="H3" s="131"/>
      <c r="I3" s="131"/>
      <c r="J3" s="131"/>
      <c r="K3" s="131"/>
    </row>
    <row r="4" spans="1:11" s="1" customFormat="1" ht="13.5">
      <c r="A4" s="133" t="s">
        <v>2</v>
      </c>
      <c r="B4" s="133"/>
      <c r="C4" s="133"/>
      <c r="D4" s="133"/>
      <c r="E4" s="133"/>
      <c r="F4" s="133"/>
      <c r="G4" s="133"/>
      <c r="H4" s="133"/>
      <c r="I4" s="133"/>
      <c r="J4" s="133"/>
      <c r="K4" s="133"/>
    </row>
    <row r="5" spans="1:11" s="1" customFormat="1" ht="13.5">
      <c r="A5" s="132" t="s">
        <v>3</v>
      </c>
      <c r="B5" s="132"/>
      <c r="C5" s="132"/>
      <c r="D5" s="132"/>
      <c r="E5" s="132"/>
      <c r="F5" s="132"/>
      <c r="G5" s="132"/>
      <c r="H5" s="132"/>
      <c r="I5" s="132"/>
      <c r="J5" s="132"/>
      <c r="K5" s="132"/>
    </row>
    <row r="6" spans="1:11" s="1" customFormat="1" ht="13.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123" t="s">
        <v>35</v>
      </c>
      <c r="B8" s="124"/>
      <c r="C8" s="124"/>
      <c r="D8" s="124"/>
      <c r="E8" s="124"/>
      <c r="F8" s="124"/>
      <c r="G8" s="124"/>
      <c r="H8" s="124"/>
      <c r="I8" s="124"/>
      <c r="J8" s="124"/>
      <c r="K8" s="125"/>
    </row>
    <row r="9" spans="1:11" s="1" customFormat="1" ht="9" customHeight="1">
      <c r="A9" s="3"/>
      <c r="B9" s="4"/>
      <c r="C9" s="4"/>
      <c r="D9" s="5"/>
      <c r="E9" s="6"/>
      <c r="F9" s="5"/>
      <c r="G9" s="5"/>
      <c r="H9" s="5"/>
      <c r="I9" s="5"/>
      <c r="J9" s="5"/>
      <c r="K9" s="5"/>
    </row>
    <row r="10" spans="1:11" s="1" customFormat="1" ht="12.75">
      <c r="A10" s="3"/>
      <c r="B10" s="5"/>
      <c r="C10" s="5"/>
      <c r="D10" s="5"/>
      <c r="E10" s="6"/>
      <c r="F10" s="5"/>
      <c r="G10" s="5"/>
      <c r="H10" s="122" t="s">
        <v>5</v>
      </c>
      <c r="I10" s="122"/>
      <c r="J10" s="122"/>
      <c r="K10" s="122"/>
    </row>
    <row r="11" spans="1:11" s="1" customFormat="1" ht="7.5" customHeight="1">
      <c r="A11" s="3"/>
      <c r="B11" s="5"/>
      <c r="C11" s="5"/>
      <c r="D11" s="5"/>
      <c r="E11" s="6"/>
      <c r="F11" s="5"/>
      <c r="G11" s="5"/>
      <c r="H11" s="5"/>
      <c r="I11" s="5"/>
      <c r="J11" s="5"/>
      <c r="K11" s="5"/>
    </row>
    <row r="12" spans="1:11" s="12" customFormat="1" ht="12">
      <c r="A12" s="9"/>
      <c r="B12" s="10" t="s">
        <v>6</v>
      </c>
      <c r="C12" s="10" t="s">
        <v>6</v>
      </c>
      <c r="D12" s="10"/>
      <c r="E12" s="11" t="s">
        <v>7</v>
      </c>
      <c r="F12" s="10" t="s">
        <v>8</v>
      </c>
      <c r="G12" s="10"/>
      <c r="H12" s="10" t="s">
        <v>9</v>
      </c>
      <c r="I12" s="10" t="s">
        <v>74</v>
      </c>
      <c r="J12" s="10" t="s">
        <v>10</v>
      </c>
      <c r="K12" s="10" t="s">
        <v>75</v>
      </c>
    </row>
    <row r="13" spans="1:11" s="12" customFormat="1" ht="12">
      <c r="A13" s="13" t="s">
        <v>11</v>
      </c>
      <c r="B13" s="8" t="s">
        <v>12</v>
      </c>
      <c r="C13" s="8" t="s">
        <v>13</v>
      </c>
      <c r="D13" s="8" t="s">
        <v>14</v>
      </c>
      <c r="E13" s="14" t="s">
        <v>15</v>
      </c>
      <c r="F13" s="8" t="s">
        <v>16</v>
      </c>
      <c r="G13" s="15"/>
      <c r="H13" s="8" t="s">
        <v>17</v>
      </c>
      <c r="I13" s="8" t="s">
        <v>18</v>
      </c>
      <c r="J13" s="8" t="s">
        <v>19</v>
      </c>
      <c r="K13" s="8" t="s">
        <v>76</v>
      </c>
    </row>
    <row r="15" spans="1:11" ht="12.75">
      <c r="A15" s="3">
        <v>38443</v>
      </c>
      <c r="B15" s="16">
        <v>74405301.82000001</v>
      </c>
      <c r="C15" s="16">
        <f aca="true" t="shared" si="0" ref="C15:C26">B15-D15</f>
        <v>68765398.51</v>
      </c>
      <c r="D15" s="16">
        <v>5639903.3100000005</v>
      </c>
      <c r="E15" s="17">
        <f>51826/30</f>
        <v>1727.5333333333333</v>
      </c>
      <c r="F15" s="16">
        <v>108.82382028325551</v>
      </c>
      <c r="H15" s="16">
        <v>3064167</v>
      </c>
      <c r="I15" s="16">
        <v>1738165</v>
      </c>
      <c r="J15" s="16">
        <v>273581.1</v>
      </c>
      <c r="K15" s="16">
        <f aca="true" t="shared" si="1" ref="K15:K26">D15*0.1</f>
        <v>563990.3310000001</v>
      </c>
    </row>
    <row r="16" spans="1:11" ht="12.75">
      <c r="A16" s="3">
        <v>38473</v>
      </c>
      <c r="B16" s="16">
        <v>81645207.82000002</v>
      </c>
      <c r="C16" s="16">
        <f t="shared" si="0"/>
        <v>75363549.61000001</v>
      </c>
      <c r="D16" s="16">
        <v>6281658.210000001</v>
      </c>
      <c r="E16" s="17">
        <f>53258/31</f>
        <v>1718</v>
      </c>
      <c r="F16" s="16">
        <v>117.94769255323146</v>
      </c>
      <c r="H16" s="16">
        <v>3140829</v>
      </c>
      <c r="I16" s="16">
        <v>2010131</v>
      </c>
      <c r="J16" s="16">
        <f aca="true" t="shared" si="2" ref="J16:J26">D16*0.08</f>
        <v>502532.65680000006</v>
      </c>
      <c r="K16" s="16">
        <f t="shared" si="1"/>
        <v>628165.8210000001</v>
      </c>
    </row>
    <row r="17" spans="1:11" ht="12.75">
      <c r="A17" s="3">
        <v>38504</v>
      </c>
      <c r="B17" s="16">
        <v>75015986.45</v>
      </c>
      <c r="C17" s="16">
        <f t="shared" si="0"/>
        <v>69373276.28</v>
      </c>
      <c r="D17" s="16">
        <v>5642710.170000001</v>
      </c>
      <c r="E17" s="17">
        <f>51540/30</f>
        <v>1718</v>
      </c>
      <c r="F17" s="16">
        <v>109.48215308498256</v>
      </c>
      <c r="H17" s="16">
        <v>2821355</v>
      </c>
      <c r="I17" s="16">
        <v>1805667</v>
      </c>
      <c r="J17" s="16">
        <f t="shared" si="2"/>
        <v>451416.81360000005</v>
      </c>
      <c r="K17" s="16">
        <f t="shared" si="1"/>
        <v>564271.0170000001</v>
      </c>
    </row>
    <row r="18" spans="1:11" ht="12.75">
      <c r="A18" s="3">
        <v>38534</v>
      </c>
      <c r="B18" s="16">
        <v>100248320.44000003</v>
      </c>
      <c r="C18" s="16">
        <f t="shared" si="0"/>
        <v>92611525.60000002</v>
      </c>
      <c r="D18" s="16">
        <v>7636794.840000001</v>
      </c>
      <c r="E18" s="17">
        <f>53258/31</f>
        <v>1718</v>
      </c>
      <c r="F18" s="16">
        <v>143.39244507867363</v>
      </c>
      <c r="H18" s="16">
        <v>3818397</v>
      </c>
      <c r="I18" s="16">
        <v>2443774</v>
      </c>
      <c r="J18" s="16">
        <f t="shared" si="2"/>
        <v>610943.5872000001</v>
      </c>
      <c r="K18" s="16">
        <f t="shared" si="1"/>
        <v>763679.4840000002</v>
      </c>
    </row>
    <row r="19" spans="1:11" ht="12.75">
      <c r="A19" s="3">
        <v>38565</v>
      </c>
      <c r="B19" s="16">
        <v>89010370</v>
      </c>
      <c r="C19" s="16">
        <f t="shared" si="0"/>
        <v>82212015.94</v>
      </c>
      <c r="D19" s="16">
        <v>6798354.0600000005</v>
      </c>
      <c r="E19" s="17">
        <f>53258/31</f>
        <v>1718</v>
      </c>
      <c r="F19" s="16">
        <v>127.64944346389275</v>
      </c>
      <c r="H19" s="16">
        <v>3399177</v>
      </c>
      <c r="I19" s="16">
        <v>2175473</v>
      </c>
      <c r="J19" s="16">
        <f t="shared" si="2"/>
        <v>543868.3248000001</v>
      </c>
      <c r="K19" s="16">
        <f t="shared" si="1"/>
        <v>679835.4060000001</v>
      </c>
    </row>
    <row r="20" spans="1:11" ht="12.75">
      <c r="A20" s="3">
        <v>38596</v>
      </c>
      <c r="B20" s="16">
        <v>82000858.6</v>
      </c>
      <c r="C20" s="16">
        <f t="shared" si="0"/>
        <v>75740404.53999999</v>
      </c>
      <c r="D20" s="16">
        <v>6260454.06</v>
      </c>
      <c r="E20" s="17">
        <f>51540/30</f>
        <v>1718</v>
      </c>
      <c r="F20" s="16">
        <v>121.4678707799767</v>
      </c>
      <c r="H20" s="16">
        <v>3130227</v>
      </c>
      <c r="I20" s="16">
        <v>2003345</v>
      </c>
      <c r="J20" s="16">
        <f t="shared" si="2"/>
        <v>500836.3248</v>
      </c>
      <c r="K20" s="16">
        <f t="shared" si="1"/>
        <v>626045.406</v>
      </c>
    </row>
    <row r="21" spans="1:11" ht="12.75">
      <c r="A21" s="3">
        <v>38626</v>
      </c>
      <c r="B21" s="16">
        <v>81755397.74000001</v>
      </c>
      <c r="C21" s="16">
        <f t="shared" si="0"/>
        <v>75412520.34</v>
      </c>
      <c r="D21" s="16">
        <v>6342877.399999999</v>
      </c>
      <c r="E21" s="17">
        <f>50134/31</f>
        <v>1617.225806451613</v>
      </c>
      <c r="F21" s="16">
        <v>126.5184784776798</v>
      </c>
      <c r="H21" s="16">
        <v>3171439</v>
      </c>
      <c r="I21" s="16">
        <v>2029721</v>
      </c>
      <c r="J21" s="16">
        <f t="shared" si="2"/>
        <v>507430.192</v>
      </c>
      <c r="K21" s="16">
        <f t="shared" si="1"/>
        <v>634287.74</v>
      </c>
    </row>
    <row r="22" spans="1:11" ht="12.75">
      <c r="A22" s="3">
        <v>38657</v>
      </c>
      <c r="B22" s="16">
        <v>70765361.32000001</v>
      </c>
      <c r="C22" s="16">
        <f t="shared" si="0"/>
        <v>65248169.330000006</v>
      </c>
      <c r="D22" s="16">
        <v>5517191.989999999</v>
      </c>
      <c r="E22" s="17">
        <f>47280/30</f>
        <v>1576</v>
      </c>
      <c r="F22" s="16">
        <v>116.6918779610829</v>
      </c>
      <c r="H22" s="16">
        <v>2758596</v>
      </c>
      <c r="I22" s="16">
        <v>1765501</v>
      </c>
      <c r="J22" s="16">
        <f t="shared" si="2"/>
        <v>441375.35919999995</v>
      </c>
      <c r="K22" s="16">
        <f t="shared" si="1"/>
        <v>551719.1989999999</v>
      </c>
    </row>
    <row r="23" spans="1:11" ht="12.75">
      <c r="A23" s="3">
        <v>38687</v>
      </c>
      <c r="B23" s="16">
        <v>57945487.38000001</v>
      </c>
      <c r="C23" s="16">
        <f t="shared" si="0"/>
        <v>53257500.46000001</v>
      </c>
      <c r="D23" s="16">
        <v>4687986.92</v>
      </c>
      <c r="E23" s="17">
        <f>48856/31</f>
        <v>1576</v>
      </c>
      <c r="F23" s="16">
        <v>95.95519322089406</v>
      </c>
      <c r="H23" s="16">
        <v>2421627</v>
      </c>
      <c r="I23" s="16">
        <v>1422522</v>
      </c>
      <c r="J23" s="16">
        <f t="shared" si="2"/>
        <v>375038.9536</v>
      </c>
      <c r="K23" s="16">
        <f t="shared" si="1"/>
        <v>468798.69200000004</v>
      </c>
    </row>
    <row r="24" spans="1:11" ht="12.75">
      <c r="A24" s="3">
        <v>38718</v>
      </c>
      <c r="B24" s="16">
        <v>73552129.83</v>
      </c>
      <c r="C24" s="16">
        <f t="shared" si="0"/>
        <v>68249496.56</v>
      </c>
      <c r="D24" s="16">
        <v>5302633.27</v>
      </c>
      <c r="E24" s="17">
        <f>48856/31</f>
        <v>1576</v>
      </c>
      <c r="F24" s="16">
        <v>108.53596835598492</v>
      </c>
      <c r="H24" s="16">
        <v>2810396</v>
      </c>
      <c r="I24" s="16">
        <v>1537764</v>
      </c>
      <c r="J24" s="16">
        <f t="shared" si="2"/>
        <v>424210.6616</v>
      </c>
      <c r="K24" s="16">
        <f t="shared" si="1"/>
        <v>530263.3269999999</v>
      </c>
    </row>
    <row r="25" spans="1:11" ht="12.75">
      <c r="A25" s="3">
        <v>38749</v>
      </c>
      <c r="B25" s="16">
        <v>72643633.88999999</v>
      </c>
      <c r="C25" s="16">
        <f t="shared" si="0"/>
        <v>67135845.46999998</v>
      </c>
      <c r="D25" s="16">
        <v>5507788.419999999</v>
      </c>
      <c r="E25" s="17">
        <f>44128/28</f>
        <v>1576</v>
      </c>
      <c r="F25" s="16">
        <v>124.81391452139229</v>
      </c>
      <c r="H25" s="16">
        <v>2919128</v>
      </c>
      <c r="I25" s="16">
        <v>1597259</v>
      </c>
      <c r="J25" s="16">
        <f t="shared" si="2"/>
        <v>440623.07359999995</v>
      </c>
      <c r="K25" s="16">
        <f t="shared" si="1"/>
        <v>550778.842</v>
      </c>
    </row>
    <row r="26" spans="1:11" ht="12.75">
      <c r="A26" s="3">
        <v>38777</v>
      </c>
      <c r="B26" s="16">
        <v>84766048.02000001</v>
      </c>
      <c r="C26" s="16">
        <f t="shared" si="0"/>
        <v>78276687.29</v>
      </c>
      <c r="D26" s="16">
        <v>6489360.730000002</v>
      </c>
      <c r="E26" s="17">
        <f>48856/31</f>
        <v>1576</v>
      </c>
      <c r="F26" s="16">
        <v>132.82627988374003</v>
      </c>
      <c r="H26" s="16">
        <v>3439361</v>
      </c>
      <c r="I26" s="16">
        <v>1881915</v>
      </c>
      <c r="J26" s="16">
        <f t="shared" si="2"/>
        <v>519148.8584000002</v>
      </c>
      <c r="K26" s="16">
        <f t="shared" si="1"/>
        <v>648936.0730000003</v>
      </c>
    </row>
    <row r="27" spans="1:11" ht="13.5" thickBot="1">
      <c r="A27" s="3" t="s">
        <v>20</v>
      </c>
      <c r="B27" s="18">
        <f>SUM(B15:B26)</f>
        <v>943754103.3100002</v>
      </c>
      <c r="C27" s="18">
        <f>SUM(C15:C26)</f>
        <v>871646389.9300001</v>
      </c>
      <c r="D27" s="18">
        <f>SUM(D15:D26)</f>
        <v>72107713.38000001</v>
      </c>
      <c r="H27" s="18">
        <f>SUM(H15:H26)</f>
        <v>36894699</v>
      </c>
      <c r="I27" s="18">
        <f>SUM(I15:I26)</f>
        <v>22411237</v>
      </c>
      <c r="J27" s="18">
        <f>SUM(J15:J26)</f>
        <v>5591005.9056</v>
      </c>
      <c r="K27" s="18">
        <f>SUM(K15:K26)</f>
        <v>7210771.3379999995</v>
      </c>
    </row>
    <row r="28" spans="2:11" ht="10.5" customHeight="1" thickTop="1">
      <c r="B28" s="19"/>
      <c r="C28" s="19"/>
      <c r="D28" s="19"/>
      <c r="H28" s="19"/>
      <c r="I28" s="19"/>
      <c r="J28" s="19"/>
      <c r="K28" s="19"/>
    </row>
    <row r="29" spans="1:11" s="22" customFormat="1" ht="12.75">
      <c r="A29" s="20"/>
      <c r="B29" s="21"/>
      <c r="C29" s="21">
        <f>C27/B27</f>
        <v>0.9235948080892057</v>
      </c>
      <c r="D29" s="21">
        <f>D27/B27</f>
        <v>0.07640519191079415</v>
      </c>
      <c r="H29" s="21">
        <f>H27/$D$27</f>
        <v>0.5116609204561632</v>
      </c>
      <c r="I29" s="21">
        <f>I27/$D$27</f>
        <v>0.31080221448564255</v>
      </c>
      <c r="J29" s="21">
        <f>J27/$D$27</f>
        <v>0.07753686316657958</v>
      </c>
      <c r="K29" s="21">
        <f>K27/$D$27</f>
        <v>0.09999999999999998</v>
      </c>
    </row>
    <row r="31" spans="1:11" s="23" customFormat="1" ht="12.75">
      <c r="A31" s="123" t="s">
        <v>21</v>
      </c>
      <c r="B31" s="124"/>
      <c r="C31" s="124"/>
      <c r="D31" s="124"/>
      <c r="E31" s="124"/>
      <c r="F31" s="124"/>
      <c r="G31" s="124"/>
      <c r="H31" s="124"/>
      <c r="I31" s="124"/>
      <c r="J31" s="124"/>
      <c r="K31" s="125"/>
    </row>
    <row r="32" ht="12.75">
      <c r="A32" s="24"/>
    </row>
    <row r="33" spans="1:12" s="45" customFormat="1" ht="12.75" customHeight="1">
      <c r="A33" s="41" t="s">
        <v>22</v>
      </c>
      <c r="B33" s="42"/>
      <c r="C33" s="43" t="s">
        <v>86</v>
      </c>
      <c r="D33" s="44"/>
      <c r="E33" s="44"/>
      <c r="F33" s="44"/>
      <c r="G33" s="44"/>
      <c r="H33" s="44"/>
      <c r="I33" s="44"/>
      <c r="J33" s="44"/>
      <c r="K33" s="44"/>
      <c r="L33" s="44"/>
    </row>
    <row r="34" spans="1:12" s="45" customFormat="1" ht="12.75" customHeight="1">
      <c r="A34" s="41"/>
      <c r="B34" s="42"/>
      <c r="C34" s="43" t="s">
        <v>87</v>
      </c>
      <c r="D34" s="44"/>
      <c r="E34" s="44"/>
      <c r="F34" s="44"/>
      <c r="G34" s="44"/>
      <c r="H34" s="44"/>
      <c r="I34" s="44"/>
      <c r="J34" s="44"/>
      <c r="K34" s="44"/>
      <c r="L34" s="44"/>
    </row>
    <row r="35" spans="1:11" ht="6" customHeight="1">
      <c r="A35" s="25"/>
      <c r="B35" s="26"/>
      <c r="C35" s="26"/>
      <c r="E35" s="26"/>
      <c r="F35" s="26"/>
      <c r="G35" s="26"/>
      <c r="H35" s="26"/>
      <c r="I35" s="26"/>
      <c r="J35" s="26"/>
      <c r="K35" s="26"/>
    </row>
    <row r="36" spans="1:11" ht="12.75">
      <c r="A36" s="25" t="s">
        <v>23</v>
      </c>
      <c r="B36" s="26"/>
      <c r="C36" s="26" t="s">
        <v>24</v>
      </c>
      <c r="E36" s="26"/>
      <c r="F36" s="26"/>
      <c r="G36" s="26"/>
      <c r="H36" s="26"/>
      <c r="I36" s="26"/>
      <c r="J36" s="26"/>
      <c r="K36" s="26"/>
    </row>
    <row r="37" spans="1:11" ht="6" customHeight="1">
      <c r="A37" s="25"/>
      <c r="B37" s="26"/>
      <c r="C37" s="26"/>
      <c r="E37" s="26"/>
      <c r="F37" s="26"/>
      <c r="G37" s="26"/>
      <c r="H37" s="26"/>
      <c r="I37" s="26"/>
      <c r="J37" s="26"/>
      <c r="K37" s="26"/>
    </row>
    <row r="38" spans="1:11" ht="12.75">
      <c r="A38" s="25" t="s">
        <v>25</v>
      </c>
      <c r="B38" s="26"/>
      <c r="C38" s="26" t="s">
        <v>26</v>
      </c>
      <c r="E38" s="27"/>
      <c r="F38" s="26"/>
      <c r="G38" s="26"/>
      <c r="H38" s="26"/>
      <c r="I38" s="26"/>
      <c r="J38" s="26"/>
      <c r="K38" s="26"/>
    </row>
    <row r="39" spans="1:11" ht="12.75">
      <c r="A39" s="25"/>
      <c r="B39" s="26"/>
      <c r="C39" s="26" t="s">
        <v>27</v>
      </c>
      <c r="E39" s="27"/>
      <c r="F39" s="26"/>
      <c r="G39" s="26"/>
      <c r="H39" s="26"/>
      <c r="I39" s="26"/>
      <c r="J39" s="26"/>
      <c r="K39" s="26"/>
    </row>
    <row r="40" spans="1:11" ht="6" customHeight="1">
      <c r="A40" s="25"/>
      <c r="B40" s="26"/>
      <c r="C40" s="26"/>
      <c r="E40" s="27"/>
      <c r="F40" s="26"/>
      <c r="G40" s="26"/>
      <c r="H40" s="26"/>
      <c r="I40" s="26"/>
      <c r="J40" s="26"/>
      <c r="K40" s="26"/>
    </row>
    <row r="41" spans="1:11" ht="12.75">
      <c r="A41" s="25" t="s">
        <v>28</v>
      </c>
      <c r="B41" s="26"/>
      <c r="C41" s="26" t="s">
        <v>29</v>
      </c>
      <c r="E41" s="27"/>
      <c r="F41" s="26"/>
      <c r="G41" s="26"/>
      <c r="H41" s="26"/>
      <c r="I41" s="26"/>
      <c r="J41" s="26"/>
      <c r="K41" s="26"/>
    </row>
    <row r="42" spans="1:11" ht="6" customHeight="1">
      <c r="A42" s="25"/>
      <c r="B42" s="26"/>
      <c r="C42" s="26"/>
      <c r="E42" s="27"/>
      <c r="F42" s="26"/>
      <c r="G42" s="26"/>
      <c r="H42" s="26"/>
      <c r="I42" s="26"/>
      <c r="J42" s="26"/>
      <c r="K42" s="26"/>
    </row>
    <row r="43" spans="1:12" s="45" customFormat="1" ht="12.75">
      <c r="A43" s="41" t="s">
        <v>67</v>
      </c>
      <c r="B43" s="42"/>
      <c r="C43" s="42" t="s">
        <v>68</v>
      </c>
      <c r="D43" s="46"/>
      <c r="E43" s="47"/>
      <c r="F43" s="42"/>
      <c r="G43" s="42"/>
      <c r="H43" s="42"/>
      <c r="I43" s="42"/>
      <c r="J43" s="42"/>
      <c r="K43" s="42"/>
      <c r="L43" s="42"/>
    </row>
    <row r="44" spans="1:12" s="45" customFormat="1" ht="12.75">
      <c r="A44" s="41"/>
      <c r="B44" s="42"/>
      <c r="C44" s="42" t="s">
        <v>77</v>
      </c>
      <c r="D44" s="46"/>
      <c r="E44" s="47"/>
      <c r="F44" s="42"/>
      <c r="G44" s="42"/>
      <c r="H44" s="42"/>
      <c r="I44" s="42"/>
      <c r="J44" s="42"/>
      <c r="K44" s="42"/>
      <c r="L44" s="42"/>
    </row>
    <row r="45" spans="1:12" s="45" customFormat="1" ht="12.75">
      <c r="A45" s="41"/>
      <c r="B45" s="42"/>
      <c r="C45" s="42" t="s">
        <v>78</v>
      </c>
      <c r="D45" s="46"/>
      <c r="E45" s="47"/>
      <c r="F45" s="42"/>
      <c r="G45" s="42"/>
      <c r="H45" s="42"/>
      <c r="I45" s="42"/>
      <c r="J45" s="42"/>
      <c r="K45" s="42"/>
      <c r="L45" s="42"/>
    </row>
    <row r="46" spans="1:11" ht="6" customHeight="1">
      <c r="A46" s="25"/>
      <c r="B46" s="26"/>
      <c r="C46" s="26"/>
      <c r="E46" s="27"/>
      <c r="F46" s="26"/>
      <c r="G46" s="26"/>
      <c r="H46" s="26"/>
      <c r="I46" s="26"/>
      <c r="J46" s="26"/>
      <c r="K46" s="26"/>
    </row>
    <row r="47" spans="1:12" s="45" customFormat="1" ht="12.75">
      <c r="A47" s="41" t="s">
        <v>30</v>
      </c>
      <c r="B47" s="42"/>
      <c r="C47" s="42" t="s">
        <v>69</v>
      </c>
      <c r="D47" s="46"/>
      <c r="E47" s="47"/>
      <c r="F47" s="42"/>
      <c r="G47" s="42"/>
      <c r="H47" s="42"/>
      <c r="I47" s="42"/>
      <c r="J47" s="42"/>
      <c r="K47" s="42"/>
      <c r="L47" s="42"/>
    </row>
    <row r="48" spans="1:12" s="45" customFormat="1" ht="12.75">
      <c r="A48" s="41"/>
      <c r="B48" s="42"/>
      <c r="C48" s="42" t="s">
        <v>70</v>
      </c>
      <c r="D48" s="46"/>
      <c r="E48" s="47"/>
      <c r="F48" s="42"/>
      <c r="G48" s="42"/>
      <c r="H48" s="42"/>
      <c r="I48" s="42"/>
      <c r="J48" s="42"/>
      <c r="K48" s="42"/>
      <c r="L48" s="42"/>
    </row>
    <row r="49" spans="1:11" ht="6" customHeight="1">
      <c r="A49" s="25"/>
      <c r="B49" s="26"/>
      <c r="C49" s="26"/>
      <c r="E49" s="27"/>
      <c r="F49" s="26"/>
      <c r="G49" s="26"/>
      <c r="H49" s="26"/>
      <c r="I49" s="26"/>
      <c r="J49" s="26"/>
      <c r="K49" s="26"/>
    </row>
    <row r="50" spans="1:12" s="45" customFormat="1" ht="12.75">
      <c r="A50" s="41" t="s">
        <v>71</v>
      </c>
      <c r="B50" s="42"/>
      <c r="C50" s="42" t="s">
        <v>72</v>
      </c>
      <c r="D50" s="46"/>
      <c r="E50" s="47"/>
      <c r="F50" s="42"/>
      <c r="G50" s="42"/>
      <c r="H50" s="42"/>
      <c r="I50" s="42"/>
      <c r="J50" s="42"/>
      <c r="K50" s="42"/>
      <c r="L50" s="42"/>
    </row>
    <row r="51" spans="1:12" s="45" customFormat="1" ht="12.75">
      <c r="A51" s="48"/>
      <c r="B51" s="42"/>
      <c r="C51" s="42" t="s">
        <v>73</v>
      </c>
      <c r="D51" s="46"/>
      <c r="E51" s="47"/>
      <c r="F51" s="42"/>
      <c r="G51" s="42"/>
      <c r="H51" s="42"/>
      <c r="I51" s="42"/>
      <c r="J51" s="42"/>
      <c r="K51" s="42"/>
      <c r="L51" s="42"/>
    </row>
    <row r="52" spans="1:11" ht="12.75">
      <c r="A52" s="28"/>
      <c r="B52" s="29"/>
      <c r="C52" s="29"/>
      <c r="D52" s="29"/>
      <c r="E52" s="30"/>
      <c r="F52" s="29"/>
      <c r="G52" s="29"/>
      <c r="H52" s="29"/>
      <c r="I52" s="29"/>
      <c r="J52" s="29"/>
      <c r="K52" s="29"/>
    </row>
    <row r="53" spans="1:11" s="23" customFormat="1" ht="12.75">
      <c r="A53" s="123" t="s">
        <v>31</v>
      </c>
      <c r="B53" s="124"/>
      <c r="C53" s="124"/>
      <c r="D53" s="124"/>
      <c r="E53" s="124"/>
      <c r="F53" s="124"/>
      <c r="G53" s="124"/>
      <c r="H53" s="124"/>
      <c r="I53" s="124"/>
      <c r="J53" s="124"/>
      <c r="K53" s="125"/>
    </row>
    <row r="54" ht="12.75">
      <c r="A54" s="24"/>
    </row>
    <row r="55" spans="1:11" ht="13.5">
      <c r="A55" s="31"/>
      <c r="F55" s="10" t="s">
        <v>9</v>
      </c>
      <c r="G55" s="32"/>
      <c r="H55" s="10" t="s">
        <v>74</v>
      </c>
      <c r="I55" s="10" t="s">
        <v>10</v>
      </c>
      <c r="J55" s="53" t="s">
        <v>75</v>
      </c>
      <c r="K55" s="33"/>
    </row>
    <row r="56" spans="1:11" ht="12.75">
      <c r="A56" s="34"/>
      <c r="F56" s="8" t="s">
        <v>17</v>
      </c>
      <c r="G56" s="35"/>
      <c r="H56" s="8" t="s">
        <v>18</v>
      </c>
      <c r="I56" s="8" t="s">
        <v>19</v>
      </c>
      <c r="J56" s="54" t="s">
        <v>76</v>
      </c>
      <c r="K56" s="33"/>
    </row>
    <row r="57" spans="2:11" ht="12.75">
      <c r="B57" s="40" t="s">
        <v>36</v>
      </c>
      <c r="F57" s="15"/>
      <c r="G57" s="36"/>
      <c r="H57" s="15"/>
      <c r="I57" s="15"/>
      <c r="J57" s="15"/>
      <c r="K57" s="37"/>
    </row>
    <row r="58" spans="2:11" ht="12.75">
      <c r="B58" s="38" t="s">
        <v>33</v>
      </c>
      <c r="C58" s="38"/>
      <c r="D58" s="26"/>
      <c r="E58" s="27"/>
      <c r="F58" s="39">
        <v>0.61</v>
      </c>
      <c r="G58" s="26"/>
      <c r="H58" s="39">
        <v>0.29</v>
      </c>
      <c r="I58" s="39">
        <v>0</v>
      </c>
      <c r="J58" s="39">
        <v>0.1</v>
      </c>
      <c r="K58" s="37"/>
    </row>
    <row r="59" spans="6:11" ht="12.75">
      <c r="F59" s="15"/>
      <c r="G59" s="36"/>
      <c r="H59" s="15"/>
      <c r="I59" s="15"/>
      <c r="J59" s="15"/>
      <c r="K59" s="37"/>
    </row>
    <row r="60" spans="2:11" ht="12.75">
      <c r="B60" s="40" t="s">
        <v>37</v>
      </c>
      <c r="F60" s="15"/>
      <c r="G60" s="36"/>
      <c r="H60" s="15"/>
      <c r="I60" s="15"/>
      <c r="J60" s="15"/>
      <c r="K60" s="37"/>
    </row>
    <row r="61" spans="1:10" ht="12.75">
      <c r="A61" s="24"/>
      <c r="B61" s="38" t="s">
        <v>38</v>
      </c>
      <c r="C61" s="38"/>
      <c r="D61" s="26"/>
      <c r="E61" s="27"/>
      <c r="F61" s="39">
        <v>0.5</v>
      </c>
      <c r="G61" s="26"/>
      <c r="H61" s="39">
        <v>0.32</v>
      </c>
      <c r="I61" s="39">
        <v>0.08</v>
      </c>
      <c r="J61" s="39">
        <v>0.1</v>
      </c>
    </row>
    <row r="62" spans="2:10" ht="12.75">
      <c r="B62" s="38" t="s">
        <v>39</v>
      </c>
      <c r="C62" s="38"/>
      <c r="D62" s="26"/>
      <c r="E62" s="27"/>
      <c r="F62" s="39">
        <v>0.53</v>
      </c>
      <c r="G62" s="26"/>
      <c r="H62" s="39">
        <v>0.29</v>
      </c>
      <c r="I62" s="39">
        <v>0.08</v>
      </c>
      <c r="J62" s="39">
        <v>0.1</v>
      </c>
    </row>
    <row r="63" spans="2:10" ht="12.75">
      <c r="B63" s="38" t="s">
        <v>40</v>
      </c>
      <c r="C63" s="38"/>
      <c r="D63" s="26"/>
      <c r="E63" s="27"/>
      <c r="F63" s="39">
        <v>0.56</v>
      </c>
      <c r="G63" s="26"/>
      <c r="H63" s="39">
        <v>0.29</v>
      </c>
      <c r="I63" s="39">
        <v>0.05</v>
      </c>
      <c r="J63" s="39">
        <v>0.1</v>
      </c>
    </row>
    <row r="64" spans="2:10" ht="12.75">
      <c r="B64" s="38" t="s">
        <v>41</v>
      </c>
      <c r="C64" s="38"/>
      <c r="D64" s="26"/>
      <c r="E64" s="27"/>
      <c r="F64" s="39">
        <v>0.59</v>
      </c>
      <c r="G64" s="26"/>
      <c r="H64" s="39">
        <v>0.26</v>
      </c>
      <c r="I64" s="39">
        <v>0.05</v>
      </c>
      <c r="J64" s="39">
        <v>0.1</v>
      </c>
    </row>
    <row r="67" ht="12.75">
      <c r="A67" s="24" t="s">
        <v>34</v>
      </c>
    </row>
  </sheetData>
  <sheetProtection/>
  <mergeCells count="9">
    <mergeCell ref="A31:K31"/>
    <mergeCell ref="A53:K53"/>
    <mergeCell ref="H10:K10"/>
    <mergeCell ref="A8:K8"/>
    <mergeCell ref="A1:K1"/>
    <mergeCell ref="A2:K2"/>
    <mergeCell ref="A3:K3"/>
    <mergeCell ref="A5:K5"/>
    <mergeCell ref="A4:K4"/>
  </mergeCells>
  <hyperlinks>
    <hyperlink ref="A4" r:id="rId1" display="www.monticellogamingandraceway.com"/>
  </hyperlinks>
  <printOptions horizontalCentered="1"/>
  <pageMargins left="0.25" right="0.25" top="0.75" bottom="0.5" header="0.5" footer="0.5"/>
  <pageSetup fitToHeight="1" fitToWidth="1" horizontalDpi="600" verticalDpi="600" orientation="portrait" scale="79" r:id="rId3"/>
  <drawing r:id="rId2"/>
</worksheet>
</file>

<file path=xl/worksheets/sheet16.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I17" sqref="I17"/>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11" width="15.140625" style="16" customWidth="1"/>
    <col min="12" max="12" width="12.7109375" style="0" customWidth="1"/>
  </cols>
  <sheetData>
    <row r="1" spans="1:11" ht="17.25">
      <c r="A1" s="130" t="s">
        <v>55</v>
      </c>
      <c r="B1" s="130"/>
      <c r="C1" s="130"/>
      <c r="D1" s="130"/>
      <c r="E1" s="130"/>
      <c r="F1" s="130"/>
      <c r="G1" s="130"/>
      <c r="H1" s="130"/>
      <c r="I1" s="130"/>
      <c r="J1" s="130"/>
      <c r="K1" s="130"/>
    </row>
    <row r="2" spans="1:11" ht="15">
      <c r="A2" s="131" t="s">
        <v>0</v>
      </c>
      <c r="B2" s="131"/>
      <c r="C2" s="131"/>
      <c r="D2" s="131"/>
      <c r="E2" s="131"/>
      <c r="F2" s="131"/>
      <c r="G2" s="131"/>
      <c r="H2" s="131"/>
      <c r="I2" s="131"/>
      <c r="J2" s="131"/>
      <c r="K2" s="131"/>
    </row>
    <row r="3" spans="1:11" s="1" customFormat="1" ht="15">
      <c r="A3" s="131" t="s">
        <v>1</v>
      </c>
      <c r="B3" s="131"/>
      <c r="C3" s="131"/>
      <c r="D3" s="131"/>
      <c r="E3" s="131"/>
      <c r="F3" s="131"/>
      <c r="G3" s="131"/>
      <c r="H3" s="131"/>
      <c r="I3" s="131"/>
      <c r="J3" s="131"/>
      <c r="K3" s="131"/>
    </row>
    <row r="4" spans="1:11" s="1" customFormat="1" ht="13.5">
      <c r="A4" s="133" t="s">
        <v>2</v>
      </c>
      <c r="B4" s="133"/>
      <c r="C4" s="133"/>
      <c r="D4" s="133"/>
      <c r="E4" s="133"/>
      <c r="F4" s="133"/>
      <c r="G4" s="133"/>
      <c r="H4" s="133"/>
      <c r="I4" s="133"/>
      <c r="J4" s="133"/>
      <c r="K4" s="133"/>
    </row>
    <row r="5" spans="1:11" s="1" customFormat="1" ht="13.5">
      <c r="A5" s="132" t="s">
        <v>3</v>
      </c>
      <c r="B5" s="132"/>
      <c r="C5" s="132"/>
      <c r="D5" s="132"/>
      <c r="E5" s="132"/>
      <c r="F5" s="132"/>
      <c r="G5" s="132"/>
      <c r="H5" s="132"/>
      <c r="I5" s="132"/>
      <c r="J5" s="132"/>
      <c r="K5" s="132"/>
    </row>
    <row r="6" spans="1:11" s="1" customFormat="1" ht="13.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123" t="s">
        <v>4</v>
      </c>
      <c r="B8" s="124"/>
      <c r="C8" s="124"/>
      <c r="D8" s="124"/>
      <c r="E8" s="124"/>
      <c r="F8" s="124"/>
      <c r="G8" s="124"/>
      <c r="H8" s="124"/>
      <c r="I8" s="124"/>
      <c r="J8" s="124"/>
      <c r="K8" s="125"/>
    </row>
    <row r="9" spans="1:11" s="1" customFormat="1" ht="9" customHeight="1">
      <c r="A9" s="3"/>
      <c r="B9" s="4"/>
      <c r="C9" s="4"/>
      <c r="D9" s="5"/>
      <c r="E9" s="6"/>
      <c r="F9" s="5"/>
      <c r="G9" s="5"/>
      <c r="H9" s="5"/>
      <c r="I9" s="5"/>
      <c r="J9" s="5"/>
      <c r="K9" s="5"/>
    </row>
    <row r="10" spans="1:11" s="1" customFormat="1" ht="12.75">
      <c r="A10" s="3"/>
      <c r="B10" s="5"/>
      <c r="C10" s="5"/>
      <c r="D10" s="5"/>
      <c r="E10" s="6"/>
      <c r="F10" s="5"/>
      <c r="G10" s="5"/>
      <c r="H10" s="122" t="s">
        <v>5</v>
      </c>
      <c r="I10" s="122"/>
      <c r="J10" s="122"/>
      <c r="K10" s="122"/>
    </row>
    <row r="11" spans="1:11" s="1" customFormat="1" ht="7.5" customHeight="1">
      <c r="A11" s="3"/>
      <c r="B11" s="5"/>
      <c r="C11" s="5"/>
      <c r="D11" s="5"/>
      <c r="E11" s="6"/>
      <c r="F11" s="5"/>
      <c r="G11" s="5"/>
      <c r="H11" s="5"/>
      <c r="I11" s="5"/>
      <c r="J11" s="5"/>
      <c r="K11" s="5"/>
    </row>
    <row r="12" spans="1:11" s="12" customFormat="1" ht="12">
      <c r="A12" s="9"/>
      <c r="B12" s="10" t="s">
        <v>6</v>
      </c>
      <c r="C12" s="10" t="s">
        <v>6</v>
      </c>
      <c r="D12" s="10"/>
      <c r="E12" s="11" t="s">
        <v>7</v>
      </c>
      <c r="F12" s="10" t="s">
        <v>8</v>
      </c>
      <c r="G12" s="10"/>
      <c r="H12" s="10" t="s">
        <v>9</v>
      </c>
      <c r="I12" s="10" t="s">
        <v>74</v>
      </c>
      <c r="J12" s="10" t="s">
        <v>10</v>
      </c>
      <c r="K12" s="10" t="s">
        <v>75</v>
      </c>
    </row>
    <row r="13" spans="1:11" s="12" customFormat="1" ht="12">
      <c r="A13" s="13" t="s">
        <v>11</v>
      </c>
      <c r="B13" s="8" t="s">
        <v>12</v>
      </c>
      <c r="C13" s="8" t="s">
        <v>13</v>
      </c>
      <c r="D13" s="8" t="s">
        <v>14</v>
      </c>
      <c r="E13" s="14" t="s">
        <v>15</v>
      </c>
      <c r="F13" s="8" t="s">
        <v>16</v>
      </c>
      <c r="G13" s="15"/>
      <c r="H13" s="8" t="s">
        <v>17</v>
      </c>
      <c r="I13" s="8" t="s">
        <v>18</v>
      </c>
      <c r="J13" s="8" t="s">
        <v>19</v>
      </c>
      <c r="K13" s="8" t="s">
        <v>76</v>
      </c>
    </row>
    <row r="15" spans="1:11" ht="12.75">
      <c r="A15" s="3">
        <v>38078</v>
      </c>
      <c r="B15" s="16">
        <v>0</v>
      </c>
      <c r="C15" s="16">
        <f aca="true" t="shared" si="0" ref="C15:C26">B15-D15</f>
        <v>0</v>
      </c>
      <c r="D15" s="16">
        <v>0</v>
      </c>
      <c r="E15" s="17">
        <v>0</v>
      </c>
      <c r="F15" s="16">
        <v>0</v>
      </c>
      <c r="H15" s="16">
        <v>0</v>
      </c>
      <c r="I15" s="16">
        <v>0</v>
      </c>
      <c r="J15" s="16">
        <v>0</v>
      </c>
      <c r="K15" s="16">
        <v>0</v>
      </c>
    </row>
    <row r="16" spans="1:11" ht="12.75">
      <c r="A16" s="3">
        <v>38108</v>
      </c>
      <c r="B16" s="16">
        <v>0</v>
      </c>
      <c r="C16" s="16">
        <f t="shared" si="0"/>
        <v>0</v>
      </c>
      <c r="D16" s="16">
        <v>0</v>
      </c>
      <c r="E16" s="17">
        <v>0</v>
      </c>
      <c r="F16" s="16">
        <v>0</v>
      </c>
      <c r="H16" s="16">
        <v>0</v>
      </c>
      <c r="I16" s="16">
        <v>0</v>
      </c>
      <c r="J16" s="16">
        <v>0</v>
      </c>
      <c r="K16" s="16">
        <v>0</v>
      </c>
    </row>
    <row r="17" spans="1:11" ht="12.75">
      <c r="A17" s="3">
        <v>38139</v>
      </c>
      <c r="B17" s="16">
        <v>3478677.1</v>
      </c>
      <c r="C17" s="16">
        <f t="shared" si="0"/>
        <v>3168885.25</v>
      </c>
      <c r="D17" s="16">
        <v>309791.85</v>
      </c>
      <c r="E17" s="17">
        <v>1743</v>
      </c>
      <c r="F17" s="16">
        <v>177.73485370051634</v>
      </c>
      <c r="H17" s="16">
        <v>188973.0285</v>
      </c>
      <c r="I17" s="16">
        <v>62708.07</v>
      </c>
      <c r="J17" s="16">
        <v>0</v>
      </c>
      <c r="K17" s="16">
        <f aca="true" t="shared" si="1" ref="K17:K26">D17*0.1</f>
        <v>30979.184999999998</v>
      </c>
    </row>
    <row r="18" spans="1:11" ht="12.75">
      <c r="A18" s="3">
        <v>38169</v>
      </c>
      <c r="B18" s="16">
        <v>82329610.49</v>
      </c>
      <c r="C18" s="16">
        <f t="shared" si="0"/>
        <v>75948990.28</v>
      </c>
      <c r="D18" s="16">
        <v>6380620.209999999</v>
      </c>
      <c r="E18" s="17">
        <f>54041/31</f>
        <v>1743.258064516129</v>
      </c>
      <c r="F18" s="16">
        <v>118.06998778705055</v>
      </c>
      <c r="H18" s="16">
        <v>3892178.3280999996</v>
      </c>
      <c r="I18" s="16">
        <v>1291565.14</v>
      </c>
      <c r="J18" s="16">
        <v>0</v>
      </c>
      <c r="K18" s="16">
        <f t="shared" si="1"/>
        <v>638062.021</v>
      </c>
    </row>
    <row r="19" spans="1:11" ht="12.75">
      <c r="A19" s="3">
        <v>38200</v>
      </c>
      <c r="B19" s="16">
        <v>80494183.21000001</v>
      </c>
      <c r="C19" s="16">
        <f t="shared" si="0"/>
        <v>74246512.2</v>
      </c>
      <c r="D19" s="16">
        <v>6247671.010000001</v>
      </c>
      <c r="E19" s="17">
        <f>54064/31</f>
        <v>1744</v>
      </c>
      <c r="F19" s="16">
        <v>115.56065052530336</v>
      </c>
      <c r="H19" s="16">
        <v>3811079.3160999995</v>
      </c>
      <c r="I19" s="16">
        <v>1264653.57</v>
      </c>
      <c r="J19" s="16">
        <v>0</v>
      </c>
      <c r="K19" s="16">
        <f t="shared" si="1"/>
        <v>624767.1010000001</v>
      </c>
    </row>
    <row r="20" spans="1:11" ht="12.75">
      <c r="A20" s="3">
        <v>38231</v>
      </c>
      <c r="B20" s="16">
        <v>71527194.34999998</v>
      </c>
      <c r="C20" s="16">
        <f t="shared" si="0"/>
        <v>66004732.57999998</v>
      </c>
      <c r="D20" s="16">
        <v>5522461.769999999</v>
      </c>
      <c r="E20" s="17">
        <f>52320/30</f>
        <v>1744</v>
      </c>
      <c r="F20" s="16">
        <v>105.55163933486236</v>
      </c>
      <c r="H20" s="16">
        <v>3368701.6796999997</v>
      </c>
      <c r="I20" s="16">
        <v>1117856.71</v>
      </c>
      <c r="J20" s="16">
        <v>0</v>
      </c>
      <c r="K20" s="16">
        <f t="shared" si="1"/>
        <v>552246.1769999999</v>
      </c>
    </row>
    <row r="21" spans="1:11" ht="12.75">
      <c r="A21" s="3">
        <v>38261</v>
      </c>
      <c r="B21" s="16">
        <v>73043093.8</v>
      </c>
      <c r="C21" s="16">
        <f t="shared" si="0"/>
        <v>67565661.05</v>
      </c>
      <c r="D21" s="16">
        <v>5477432.75</v>
      </c>
      <c r="E21" s="17">
        <f>54064/31</f>
        <v>1744</v>
      </c>
      <c r="F21" s="16">
        <v>101.31386412400119</v>
      </c>
      <c r="H21" s="16">
        <v>3341233.9775000005</v>
      </c>
      <c r="I21" s="16">
        <v>1108741.94</v>
      </c>
      <c r="J21" s="16">
        <v>0</v>
      </c>
      <c r="K21" s="16">
        <f t="shared" si="1"/>
        <v>547743.275</v>
      </c>
    </row>
    <row r="22" spans="1:11" ht="12.75">
      <c r="A22" s="3">
        <v>38292</v>
      </c>
      <c r="B22" s="16">
        <v>62006495.60000001</v>
      </c>
      <c r="C22" s="16">
        <f t="shared" si="0"/>
        <v>57464715.55000001</v>
      </c>
      <c r="D22" s="16">
        <v>4541780.05</v>
      </c>
      <c r="E22" s="17">
        <f>52320/30</f>
        <v>1744</v>
      </c>
      <c r="F22" s="16">
        <v>86.80772266819571</v>
      </c>
      <c r="H22" s="16">
        <v>2770485.8305</v>
      </c>
      <c r="I22" s="16">
        <v>919347.12</v>
      </c>
      <c r="J22" s="16">
        <v>0</v>
      </c>
      <c r="K22" s="16">
        <f t="shared" si="1"/>
        <v>454178.005</v>
      </c>
    </row>
    <row r="23" spans="1:11" ht="12.75">
      <c r="A23" s="3">
        <v>38322</v>
      </c>
      <c r="B23" s="16">
        <v>50127562.69000001</v>
      </c>
      <c r="C23" s="16">
        <f t="shared" si="0"/>
        <v>46322553.85700001</v>
      </c>
      <c r="D23" s="16">
        <v>3805008.8330000006</v>
      </c>
      <c r="E23" s="17">
        <f>54064/31</f>
        <v>1744</v>
      </c>
      <c r="F23" s="16">
        <v>70.37971354320806</v>
      </c>
      <c r="H23" s="16">
        <v>2321055.38813</v>
      </c>
      <c r="I23" s="16">
        <v>770209.89</v>
      </c>
      <c r="J23" s="16">
        <v>0</v>
      </c>
      <c r="K23" s="16">
        <f t="shared" si="1"/>
        <v>380500.8833000001</v>
      </c>
    </row>
    <row r="24" spans="1:11" ht="12.75">
      <c r="A24" s="3">
        <v>38353</v>
      </c>
      <c r="B24" s="16">
        <v>52524793.519999996</v>
      </c>
      <c r="C24" s="16">
        <f t="shared" si="0"/>
        <v>48565147.919999994</v>
      </c>
      <c r="D24" s="16">
        <v>3959645.6</v>
      </c>
      <c r="E24" s="17">
        <f>54064/31</f>
        <v>1744</v>
      </c>
      <c r="F24" s="16">
        <v>73.23996744598993</v>
      </c>
      <c r="H24" s="16">
        <v>2415383.816</v>
      </c>
      <c r="I24" s="16">
        <v>801511.46</v>
      </c>
      <c r="J24" s="16">
        <v>0</v>
      </c>
      <c r="K24" s="16">
        <f t="shared" si="1"/>
        <v>395964.56000000006</v>
      </c>
    </row>
    <row r="25" spans="1:11" ht="12.75">
      <c r="A25" s="3">
        <v>38384</v>
      </c>
      <c r="B25" s="16">
        <v>61121100.92999999</v>
      </c>
      <c r="C25" s="16">
        <f t="shared" si="0"/>
        <v>56725830.919999994</v>
      </c>
      <c r="D25" s="16">
        <v>4395270.01</v>
      </c>
      <c r="E25" s="17">
        <f>48832/28</f>
        <v>1744</v>
      </c>
      <c r="F25" s="16">
        <v>90.00798677096984</v>
      </c>
      <c r="H25" s="16">
        <v>2681114.7060999996</v>
      </c>
      <c r="I25" s="16">
        <v>889690.56</v>
      </c>
      <c r="J25" s="16">
        <v>0</v>
      </c>
      <c r="K25" s="16">
        <f t="shared" si="1"/>
        <v>439527.001</v>
      </c>
    </row>
    <row r="26" spans="1:11" ht="12.75">
      <c r="A26" s="3">
        <v>38412</v>
      </c>
      <c r="B26" s="16">
        <v>65254770.1</v>
      </c>
      <c r="C26" s="16">
        <f t="shared" si="0"/>
        <v>60358626.980000004</v>
      </c>
      <c r="D26" s="16">
        <v>4896143.12</v>
      </c>
      <c r="E26" s="17">
        <f>54064/31</f>
        <v>1744</v>
      </c>
      <c r="F26" s="16">
        <v>90.56198431488606</v>
      </c>
      <c r="H26" s="16">
        <v>2986647.3032</v>
      </c>
      <c r="I26" s="16">
        <v>991077.29</v>
      </c>
      <c r="J26" s="16">
        <v>0</v>
      </c>
      <c r="K26" s="16">
        <f t="shared" si="1"/>
        <v>489614.31200000003</v>
      </c>
    </row>
    <row r="27" spans="1:11" ht="13.5" thickBot="1">
      <c r="A27" s="3" t="s">
        <v>20</v>
      </c>
      <c r="B27" s="18">
        <f>SUM(B15:B26)</f>
        <v>601907481.79</v>
      </c>
      <c r="C27" s="18">
        <f>SUM(C15:C26)</f>
        <v>556371656.587</v>
      </c>
      <c r="D27" s="18">
        <f>SUM(D15:D26)</f>
        <v>45535825.202999994</v>
      </c>
      <c r="H27" s="18">
        <f>SUM(H15:H26)</f>
        <v>27776853.373829994</v>
      </c>
      <c r="I27" s="18">
        <f>SUM(I15:I26)</f>
        <v>9217361.75</v>
      </c>
      <c r="J27" s="18">
        <f>SUM(J15:J26)</f>
        <v>0</v>
      </c>
      <c r="K27" s="18">
        <f>SUM(K15:K26)</f>
        <v>4553582.520300001</v>
      </c>
    </row>
    <row r="28" spans="2:11" ht="10.5" customHeight="1" thickTop="1">
      <c r="B28" s="19"/>
      <c r="C28" s="19"/>
      <c r="D28" s="19"/>
      <c r="H28" s="19"/>
      <c r="I28" s="19"/>
      <c r="J28" s="19"/>
      <c r="K28" s="19"/>
    </row>
    <row r="29" spans="1:11" s="22" customFormat="1" ht="12.75">
      <c r="A29" s="20"/>
      <c r="B29" s="21"/>
      <c r="C29" s="21">
        <f>C27/B27</f>
        <v>0.9243474677078578</v>
      </c>
      <c r="D29" s="21">
        <f>D27/B27</f>
        <v>0.07565253229214225</v>
      </c>
      <c r="H29" s="21">
        <f>H27/$D$27</f>
        <v>0.61</v>
      </c>
      <c r="I29" s="21">
        <f>I27/$D$27</f>
        <v>0.20242000027250504</v>
      </c>
      <c r="J29" s="21">
        <f>J27/$D$27</f>
        <v>0</v>
      </c>
      <c r="K29" s="21">
        <f>K27/$D$27</f>
        <v>0.10000000000000003</v>
      </c>
    </row>
    <row r="31" spans="1:11" s="23" customFormat="1" ht="12.75">
      <c r="A31" s="123" t="s">
        <v>21</v>
      </c>
      <c r="B31" s="124"/>
      <c r="C31" s="124"/>
      <c r="D31" s="124"/>
      <c r="E31" s="124"/>
      <c r="F31" s="124"/>
      <c r="G31" s="124"/>
      <c r="H31" s="124"/>
      <c r="I31" s="124"/>
      <c r="J31" s="124"/>
      <c r="K31" s="125"/>
    </row>
    <row r="32" ht="12.75">
      <c r="A32" s="24"/>
    </row>
    <row r="33" spans="1:12" s="45" customFormat="1" ht="12.75" customHeight="1">
      <c r="A33" s="41" t="s">
        <v>22</v>
      </c>
      <c r="B33" s="42"/>
      <c r="C33" s="43" t="s">
        <v>86</v>
      </c>
      <c r="D33" s="44"/>
      <c r="E33" s="44"/>
      <c r="F33" s="44"/>
      <c r="G33" s="44"/>
      <c r="H33" s="44"/>
      <c r="I33" s="44"/>
      <c r="J33" s="44"/>
      <c r="K33" s="44"/>
      <c r="L33" s="44"/>
    </row>
    <row r="34" spans="1:12" s="45" customFormat="1" ht="12.75" customHeight="1">
      <c r="A34" s="41"/>
      <c r="B34" s="42"/>
      <c r="C34" s="43" t="s">
        <v>87</v>
      </c>
      <c r="D34" s="44"/>
      <c r="E34" s="44"/>
      <c r="F34" s="44"/>
      <c r="G34" s="44"/>
      <c r="H34" s="44"/>
      <c r="I34" s="44"/>
      <c r="J34" s="44"/>
      <c r="K34" s="44"/>
      <c r="L34" s="44"/>
    </row>
    <row r="35" spans="1:11" ht="6" customHeight="1">
      <c r="A35" s="25"/>
      <c r="B35" s="26"/>
      <c r="C35" s="26"/>
      <c r="E35" s="26"/>
      <c r="F35" s="26"/>
      <c r="G35" s="26"/>
      <c r="H35" s="26"/>
      <c r="I35" s="26"/>
      <c r="J35" s="26"/>
      <c r="K35" s="26"/>
    </row>
    <row r="36" spans="1:11" ht="12.75">
      <c r="A36" s="25" t="s">
        <v>23</v>
      </c>
      <c r="B36" s="26"/>
      <c r="C36" s="26" t="s">
        <v>24</v>
      </c>
      <c r="E36" s="26"/>
      <c r="F36" s="26"/>
      <c r="G36" s="26"/>
      <c r="H36" s="26"/>
      <c r="I36" s="26"/>
      <c r="J36" s="26"/>
      <c r="K36" s="26"/>
    </row>
    <row r="37" spans="1:11" ht="6" customHeight="1">
      <c r="A37" s="25"/>
      <c r="B37" s="26"/>
      <c r="C37" s="26"/>
      <c r="E37" s="26"/>
      <c r="F37" s="26"/>
      <c r="G37" s="26"/>
      <c r="H37" s="26"/>
      <c r="I37" s="26"/>
      <c r="J37" s="26"/>
      <c r="K37" s="26"/>
    </row>
    <row r="38" spans="1:11" ht="12.75">
      <c r="A38" s="25" t="s">
        <v>25</v>
      </c>
      <c r="B38" s="26"/>
      <c r="C38" s="26" t="s">
        <v>26</v>
      </c>
      <c r="E38" s="27"/>
      <c r="F38" s="26"/>
      <c r="G38" s="26"/>
      <c r="H38" s="26"/>
      <c r="I38" s="26"/>
      <c r="J38" s="26"/>
      <c r="K38" s="26"/>
    </row>
    <row r="39" spans="1:11" ht="12.75">
      <c r="A39" s="25"/>
      <c r="B39" s="26"/>
      <c r="C39" s="26" t="s">
        <v>27</v>
      </c>
      <c r="E39" s="27"/>
      <c r="F39" s="26"/>
      <c r="G39" s="26"/>
      <c r="H39" s="26"/>
      <c r="I39" s="26"/>
      <c r="J39" s="26"/>
      <c r="K39" s="26"/>
    </row>
    <row r="40" spans="1:11" ht="6" customHeight="1">
      <c r="A40" s="25"/>
      <c r="B40" s="26"/>
      <c r="C40" s="26"/>
      <c r="E40" s="27"/>
      <c r="F40" s="26"/>
      <c r="G40" s="26"/>
      <c r="H40" s="26"/>
      <c r="I40" s="26"/>
      <c r="J40" s="26"/>
      <c r="K40" s="26"/>
    </row>
    <row r="41" spans="1:11" ht="12.75">
      <c r="A41" s="25" t="s">
        <v>28</v>
      </c>
      <c r="B41" s="26"/>
      <c r="C41" s="26" t="s">
        <v>29</v>
      </c>
      <c r="E41" s="27"/>
      <c r="F41" s="26"/>
      <c r="G41" s="26"/>
      <c r="H41" s="26"/>
      <c r="I41" s="26"/>
      <c r="J41" s="26"/>
      <c r="K41" s="26"/>
    </row>
    <row r="42" spans="1:11" ht="6" customHeight="1">
      <c r="A42" s="25"/>
      <c r="B42" s="26"/>
      <c r="C42" s="26"/>
      <c r="E42" s="27"/>
      <c r="F42" s="26"/>
      <c r="G42" s="26"/>
      <c r="H42" s="26"/>
      <c r="I42" s="26"/>
      <c r="J42" s="26"/>
      <c r="K42" s="26"/>
    </row>
    <row r="43" spans="1:12" s="45" customFormat="1" ht="12.75">
      <c r="A43" s="41" t="s">
        <v>67</v>
      </c>
      <c r="B43" s="42"/>
      <c r="C43" s="42" t="s">
        <v>68</v>
      </c>
      <c r="D43" s="46"/>
      <c r="E43" s="47"/>
      <c r="F43" s="42"/>
      <c r="G43" s="42"/>
      <c r="H43" s="42"/>
      <c r="I43" s="42"/>
      <c r="J43" s="42"/>
      <c r="K43" s="42"/>
      <c r="L43" s="42"/>
    </row>
    <row r="44" spans="1:12" s="45" customFormat="1" ht="12.75">
      <c r="A44" s="41"/>
      <c r="B44" s="42"/>
      <c r="C44" s="42" t="s">
        <v>77</v>
      </c>
      <c r="D44" s="46"/>
      <c r="E44" s="47"/>
      <c r="F44" s="42"/>
      <c r="G44" s="42"/>
      <c r="H44" s="42"/>
      <c r="I44" s="42"/>
      <c r="J44" s="42"/>
      <c r="K44" s="42"/>
      <c r="L44" s="42"/>
    </row>
    <row r="45" spans="1:12" s="45" customFormat="1" ht="12.75">
      <c r="A45" s="41"/>
      <c r="B45" s="42"/>
      <c r="C45" s="42" t="s">
        <v>78</v>
      </c>
      <c r="D45" s="46"/>
      <c r="E45" s="47"/>
      <c r="F45" s="42"/>
      <c r="G45" s="42"/>
      <c r="H45" s="42"/>
      <c r="I45" s="42"/>
      <c r="J45" s="42"/>
      <c r="K45" s="42"/>
      <c r="L45" s="42"/>
    </row>
    <row r="46" spans="1:11" ht="6" customHeight="1">
      <c r="A46" s="25"/>
      <c r="B46" s="26"/>
      <c r="C46" s="26"/>
      <c r="E46" s="27"/>
      <c r="F46" s="26"/>
      <c r="G46" s="26"/>
      <c r="H46" s="26"/>
      <c r="I46" s="26"/>
      <c r="J46" s="26"/>
      <c r="K46" s="26"/>
    </row>
    <row r="47" spans="1:12" s="45" customFormat="1" ht="12.75">
      <c r="A47" s="41" t="s">
        <v>30</v>
      </c>
      <c r="B47" s="42"/>
      <c r="C47" s="42" t="s">
        <v>69</v>
      </c>
      <c r="D47" s="46"/>
      <c r="E47" s="47"/>
      <c r="F47" s="42"/>
      <c r="G47" s="42"/>
      <c r="H47" s="42"/>
      <c r="I47" s="42"/>
      <c r="J47" s="42"/>
      <c r="K47" s="42"/>
      <c r="L47" s="42"/>
    </row>
    <row r="48" spans="1:12" s="45" customFormat="1" ht="12.75">
      <c r="A48" s="41"/>
      <c r="B48" s="42"/>
      <c r="C48" s="42" t="s">
        <v>70</v>
      </c>
      <c r="D48" s="46"/>
      <c r="E48" s="47"/>
      <c r="F48" s="42"/>
      <c r="G48" s="42"/>
      <c r="H48" s="42"/>
      <c r="I48" s="42"/>
      <c r="J48" s="42"/>
      <c r="K48" s="42"/>
      <c r="L48" s="42"/>
    </row>
    <row r="49" spans="1:11" ht="6" customHeight="1">
      <c r="A49" s="25"/>
      <c r="B49" s="26"/>
      <c r="C49" s="26"/>
      <c r="E49" s="27"/>
      <c r="F49" s="26"/>
      <c r="G49" s="26"/>
      <c r="H49" s="26"/>
      <c r="I49" s="26"/>
      <c r="J49" s="26"/>
      <c r="K49" s="26"/>
    </row>
    <row r="50" spans="1:12" s="45" customFormat="1" ht="12.75">
      <c r="A50" s="41" t="s">
        <v>71</v>
      </c>
      <c r="B50" s="42"/>
      <c r="C50" s="42" t="s">
        <v>72</v>
      </c>
      <c r="D50" s="46"/>
      <c r="E50" s="47"/>
      <c r="F50" s="42"/>
      <c r="G50" s="42"/>
      <c r="H50" s="42"/>
      <c r="I50" s="42"/>
      <c r="J50" s="42"/>
      <c r="K50" s="42"/>
      <c r="L50" s="42"/>
    </row>
    <row r="51" spans="1:12" s="45" customFormat="1" ht="12.75">
      <c r="A51" s="48"/>
      <c r="B51" s="42"/>
      <c r="C51" s="42" t="s">
        <v>73</v>
      </c>
      <c r="D51" s="46"/>
      <c r="E51" s="47"/>
      <c r="F51" s="42"/>
      <c r="G51" s="42"/>
      <c r="H51" s="42"/>
      <c r="I51" s="42"/>
      <c r="J51" s="42"/>
      <c r="K51" s="42"/>
      <c r="L51" s="42"/>
    </row>
    <row r="52" spans="1:11" ht="12.75">
      <c r="A52" s="28"/>
      <c r="B52" s="29"/>
      <c r="C52" s="29"/>
      <c r="D52" s="29"/>
      <c r="E52" s="30"/>
      <c r="F52" s="29"/>
      <c r="G52" s="29"/>
      <c r="H52" s="29"/>
      <c r="I52" s="29"/>
      <c r="J52" s="29"/>
      <c r="K52" s="29"/>
    </row>
    <row r="53" spans="1:11" s="23" customFormat="1" ht="12.75">
      <c r="A53" s="123" t="s">
        <v>31</v>
      </c>
      <c r="B53" s="124"/>
      <c r="C53" s="124"/>
      <c r="D53" s="124"/>
      <c r="E53" s="124"/>
      <c r="F53" s="124"/>
      <c r="G53" s="124"/>
      <c r="H53" s="124"/>
      <c r="I53" s="124"/>
      <c r="J53" s="124"/>
      <c r="K53" s="125"/>
    </row>
    <row r="54" ht="12.75">
      <c r="A54" s="24"/>
    </row>
    <row r="55" spans="1:11" ht="13.5">
      <c r="A55" s="31"/>
      <c r="F55" s="10" t="s">
        <v>9</v>
      </c>
      <c r="G55" s="32"/>
      <c r="H55" s="10" t="s">
        <v>74</v>
      </c>
      <c r="I55" s="10" t="s">
        <v>10</v>
      </c>
      <c r="J55" s="53" t="s">
        <v>75</v>
      </c>
      <c r="K55" s="33"/>
    </row>
    <row r="56" spans="1:11" ht="12.75">
      <c r="A56" s="34"/>
      <c r="F56" s="8" t="s">
        <v>17</v>
      </c>
      <c r="G56" s="35"/>
      <c r="H56" s="8" t="s">
        <v>18</v>
      </c>
      <c r="I56" s="8" t="s">
        <v>19</v>
      </c>
      <c r="J56" s="54" t="s">
        <v>76</v>
      </c>
      <c r="K56" s="33"/>
    </row>
    <row r="57" spans="2:11" ht="12.75">
      <c r="B57" s="26" t="s">
        <v>32</v>
      </c>
      <c r="F57" s="15"/>
      <c r="G57" s="36"/>
      <c r="H57" s="15"/>
      <c r="I57" s="15"/>
      <c r="J57" s="15"/>
      <c r="K57" s="37"/>
    </row>
    <row r="58" spans="2:11" ht="12.75">
      <c r="B58" s="38" t="s">
        <v>33</v>
      </c>
      <c r="C58" s="38"/>
      <c r="D58" s="26"/>
      <c r="E58" s="27"/>
      <c r="F58" s="39">
        <v>0.61</v>
      </c>
      <c r="G58" s="26"/>
      <c r="H58" s="39">
        <v>0.29</v>
      </c>
      <c r="I58" s="39">
        <v>0</v>
      </c>
      <c r="J58" s="39">
        <v>0.1</v>
      </c>
      <c r="K58" s="37"/>
    </row>
    <row r="59" ht="12.75">
      <c r="K59" s="37"/>
    </row>
    <row r="61" ht="12.75">
      <c r="A61" s="24" t="s">
        <v>34</v>
      </c>
    </row>
  </sheetData>
  <sheetProtection/>
  <mergeCells count="9">
    <mergeCell ref="A31:K31"/>
    <mergeCell ref="A53:K53"/>
    <mergeCell ref="H10:K10"/>
    <mergeCell ref="A8:K8"/>
    <mergeCell ref="A1:K1"/>
    <mergeCell ref="A2:K2"/>
    <mergeCell ref="A3:K3"/>
    <mergeCell ref="A5:K5"/>
    <mergeCell ref="A4:K4"/>
  </mergeCells>
  <hyperlinks>
    <hyperlink ref="A4" r:id="rId1" display="www.monticellogamingandraceway.com"/>
  </hyperlinks>
  <printOptions horizontalCentered="1"/>
  <pageMargins left="0.25" right="0.25" top="0.75" bottom="0.5" header="0.5" footer="0.5"/>
  <pageSetup fitToHeight="1" fitToWidth="1" horizontalDpi="600" verticalDpi="600" orientation="portrait" scale="78"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selection activeCell="A70" sqref="A70"/>
    </sheetView>
  </sheetViews>
  <sheetFormatPr defaultColWidth="9.140625" defaultRowHeight="12.75"/>
  <cols>
    <col min="1" max="1" width="9.28125" style="66" customWidth="1"/>
    <col min="2" max="2" width="14.140625" style="64" customWidth="1"/>
    <col min="3" max="3" width="11.7109375" style="64" customWidth="1"/>
    <col min="4" max="4" width="14.140625" style="64" customWidth="1"/>
    <col min="5" max="5" width="12.7109375" style="64" customWidth="1"/>
    <col min="6" max="6" width="8.8515625" style="65" customWidth="1"/>
    <col min="7" max="7" width="10.28125" style="64" customWidth="1"/>
    <col min="8" max="8" width="1.421875" style="64" customWidth="1"/>
    <col min="9" max="10" width="11.7109375" style="64" bestFit="1" customWidth="1"/>
    <col min="11" max="12" width="12.8515625" style="64" bestFit="1" customWidth="1"/>
    <col min="13" max="13" width="12.7109375" style="63" customWidth="1"/>
    <col min="14" max="16384" width="9.140625" style="63" customWidth="1"/>
  </cols>
  <sheetData>
    <row r="1" spans="1:12" ht="17.25">
      <c r="A1" s="110" t="s">
        <v>55</v>
      </c>
      <c r="B1" s="110"/>
      <c r="C1" s="110"/>
      <c r="D1" s="110"/>
      <c r="E1" s="110"/>
      <c r="F1" s="110"/>
      <c r="G1" s="110"/>
      <c r="H1" s="110"/>
      <c r="I1" s="110"/>
      <c r="J1" s="110"/>
      <c r="K1" s="110"/>
      <c r="L1" s="110"/>
    </row>
    <row r="2" spans="1:12" ht="15">
      <c r="A2" s="111" t="s">
        <v>0</v>
      </c>
      <c r="B2" s="111"/>
      <c r="C2" s="111"/>
      <c r="D2" s="111"/>
      <c r="E2" s="111"/>
      <c r="F2" s="111"/>
      <c r="G2" s="111"/>
      <c r="H2" s="111"/>
      <c r="I2" s="111"/>
      <c r="J2" s="111"/>
      <c r="K2" s="111"/>
      <c r="L2" s="111"/>
    </row>
    <row r="3" spans="1:12" s="101" customFormat="1" ht="15">
      <c r="A3" s="111" t="s">
        <v>1</v>
      </c>
      <c r="B3" s="111"/>
      <c r="C3" s="111"/>
      <c r="D3" s="111"/>
      <c r="E3" s="111"/>
      <c r="F3" s="111"/>
      <c r="G3" s="111"/>
      <c r="H3" s="111"/>
      <c r="I3" s="111"/>
      <c r="J3" s="111"/>
      <c r="K3" s="111"/>
      <c r="L3" s="111"/>
    </row>
    <row r="4" spans="1:12" s="101" customFormat="1" ht="15">
      <c r="A4" s="112" t="s">
        <v>91</v>
      </c>
      <c r="B4" s="112"/>
      <c r="C4" s="112"/>
      <c r="D4" s="112"/>
      <c r="E4" s="112"/>
      <c r="F4" s="112"/>
      <c r="G4" s="112"/>
      <c r="H4" s="112"/>
      <c r="I4" s="112"/>
      <c r="J4" s="112"/>
      <c r="K4" s="112"/>
      <c r="L4" s="112"/>
    </row>
    <row r="5" spans="1:12" s="101" customFormat="1" ht="13.5">
      <c r="A5" s="113" t="s">
        <v>3</v>
      </c>
      <c r="B5" s="113"/>
      <c r="C5" s="113"/>
      <c r="D5" s="113"/>
      <c r="E5" s="113"/>
      <c r="F5" s="113"/>
      <c r="G5" s="113"/>
      <c r="H5" s="113"/>
      <c r="I5" s="113"/>
      <c r="J5" s="113"/>
      <c r="K5" s="113"/>
      <c r="L5" s="113"/>
    </row>
    <row r="6" spans="1:12" s="101" customFormat="1" ht="13.5">
      <c r="A6" s="106"/>
      <c r="B6" s="106"/>
      <c r="C6" s="106"/>
      <c r="D6" s="106"/>
      <c r="E6" s="106"/>
      <c r="F6" s="106"/>
      <c r="G6" s="106"/>
      <c r="H6" s="106"/>
      <c r="I6" s="106"/>
      <c r="J6" s="106"/>
      <c r="K6" s="106"/>
      <c r="L6" s="106"/>
    </row>
    <row r="7" spans="1:12" s="101" customFormat="1" ht="12.75">
      <c r="A7" s="66"/>
      <c r="B7" s="104"/>
      <c r="C7" s="104"/>
      <c r="D7" s="104"/>
      <c r="E7" s="102"/>
      <c r="F7" s="103"/>
      <c r="G7" s="102"/>
      <c r="H7" s="102"/>
      <c r="I7" s="102"/>
      <c r="J7" s="102"/>
      <c r="K7" s="102"/>
      <c r="L7" s="102"/>
    </row>
    <row r="8" spans="1:12" s="105" customFormat="1" ht="14.25" customHeight="1">
      <c r="A8" s="114" t="s">
        <v>103</v>
      </c>
      <c r="B8" s="115"/>
      <c r="C8" s="115"/>
      <c r="D8" s="115"/>
      <c r="E8" s="115"/>
      <c r="F8" s="115"/>
      <c r="G8" s="115"/>
      <c r="H8" s="115"/>
      <c r="I8" s="115"/>
      <c r="J8" s="115"/>
      <c r="K8" s="115"/>
      <c r="L8" s="116"/>
    </row>
    <row r="9" spans="1:12" s="101" customFormat="1" ht="9" customHeight="1">
      <c r="A9" s="66"/>
      <c r="B9" s="104"/>
      <c r="C9" s="104"/>
      <c r="D9" s="104"/>
      <c r="E9" s="102"/>
      <c r="F9" s="103"/>
      <c r="G9" s="102"/>
      <c r="H9" s="102"/>
      <c r="I9" s="102"/>
      <c r="J9" s="102"/>
      <c r="K9" s="102"/>
      <c r="L9" s="102"/>
    </row>
    <row r="10" spans="1:12" s="101" customFormat="1" ht="12.75">
      <c r="A10" s="66"/>
      <c r="B10" s="102"/>
      <c r="C10" s="102"/>
      <c r="D10" s="102"/>
      <c r="E10" s="102"/>
      <c r="F10" s="103"/>
      <c r="G10" s="102"/>
      <c r="H10" s="102"/>
      <c r="I10" s="117" t="s">
        <v>5</v>
      </c>
      <c r="J10" s="117"/>
      <c r="K10" s="117"/>
      <c r="L10" s="117"/>
    </row>
    <row r="11" spans="1:12" s="101" customFormat="1" ht="12" customHeight="1">
      <c r="A11" s="66"/>
      <c r="B11" s="102"/>
      <c r="C11" s="82"/>
      <c r="D11" s="102"/>
      <c r="E11" s="102"/>
      <c r="F11" s="103"/>
      <c r="G11" s="102"/>
      <c r="H11" s="102"/>
      <c r="I11" s="102"/>
      <c r="J11" s="102"/>
      <c r="K11" s="102"/>
      <c r="L11" s="102"/>
    </row>
    <row r="12" spans="1:12" s="96" customFormat="1" ht="12">
      <c r="A12" s="100"/>
      <c r="B12" s="82" t="s">
        <v>6</v>
      </c>
      <c r="C12" s="82" t="s">
        <v>61</v>
      </c>
      <c r="D12" s="82" t="s">
        <v>6</v>
      </c>
      <c r="E12" s="82"/>
      <c r="F12" s="99" t="s">
        <v>7</v>
      </c>
      <c r="G12" s="82" t="s">
        <v>8</v>
      </c>
      <c r="H12" s="82"/>
      <c r="I12" s="82" t="s">
        <v>9</v>
      </c>
      <c r="J12" s="82" t="s">
        <v>74</v>
      </c>
      <c r="K12" s="82" t="s">
        <v>10</v>
      </c>
      <c r="L12" s="82" t="s">
        <v>75</v>
      </c>
    </row>
    <row r="13" spans="1:12" s="96" customFormat="1" ht="12">
      <c r="A13" s="98" t="s">
        <v>11</v>
      </c>
      <c r="B13" s="78" t="s">
        <v>12</v>
      </c>
      <c r="C13" s="78" t="s">
        <v>19</v>
      </c>
      <c r="D13" s="78" t="s">
        <v>13</v>
      </c>
      <c r="E13" s="78" t="s">
        <v>14</v>
      </c>
      <c r="F13" s="97" t="s">
        <v>15</v>
      </c>
      <c r="G13" s="78" t="s">
        <v>16</v>
      </c>
      <c r="H13" s="77"/>
      <c r="I13" s="78" t="s">
        <v>17</v>
      </c>
      <c r="J13" s="78" t="s">
        <v>18</v>
      </c>
      <c r="K13" s="78" t="s">
        <v>19</v>
      </c>
      <c r="L13" s="78" t="s">
        <v>76</v>
      </c>
    </row>
    <row r="15" spans="1:12" ht="12.75">
      <c r="A15" s="66">
        <v>43191</v>
      </c>
      <c r="B15" s="64">
        <v>39322908.27</v>
      </c>
      <c r="C15" s="64">
        <v>338307.19</v>
      </c>
      <c r="D15" s="64">
        <f aca="true" t="shared" si="0" ref="D15:D26">IF(ISBLANK(B15),"",B15-C15-E15)</f>
        <v>36225521.370000005</v>
      </c>
      <c r="E15" s="64">
        <v>2759079.71</v>
      </c>
      <c r="F15" s="65">
        <f>33300/30</f>
        <v>1110</v>
      </c>
      <c r="G15" s="64">
        <f>E15/F15/30</f>
        <v>82.85524654654655</v>
      </c>
      <c r="I15" s="64">
        <v>1131222.69</v>
      </c>
      <c r="J15" s="64">
        <v>1076041.1</v>
      </c>
      <c r="K15" s="64">
        <v>275907.97</v>
      </c>
      <c r="L15" s="64">
        <v>275907.97</v>
      </c>
    </row>
    <row r="16" spans="1:12" ht="12.75">
      <c r="A16" s="66">
        <v>43221</v>
      </c>
      <c r="B16" s="64">
        <v>42907492.05</v>
      </c>
      <c r="C16" s="64">
        <f>343188.66-1341851</f>
        <v>-998662.3400000001</v>
      </c>
      <c r="D16" s="64">
        <f t="shared" si="0"/>
        <v>39669129.71</v>
      </c>
      <c r="E16" s="64">
        <v>4237024.68</v>
      </c>
      <c r="F16" s="65">
        <f>34410/31</f>
        <v>1110</v>
      </c>
      <c r="G16" s="64">
        <f>IF(ISBLANK(B16),"",E16/F16/31)</f>
        <v>123.13352746294682</v>
      </c>
      <c r="I16" s="64">
        <v>1737180.12</v>
      </c>
      <c r="J16" s="64">
        <v>1652439.65</v>
      </c>
      <c r="K16" s="64">
        <v>423702.49</v>
      </c>
      <c r="L16" s="64">
        <v>423702.49</v>
      </c>
    </row>
    <row r="17" spans="1:12" ht="12.75">
      <c r="A17" s="66">
        <v>43252</v>
      </c>
      <c r="B17" s="64">
        <v>42257703.97</v>
      </c>
      <c r="C17" s="64">
        <v>298484.47</v>
      </c>
      <c r="D17" s="64">
        <f t="shared" si="0"/>
        <v>39042597.16</v>
      </c>
      <c r="E17" s="64">
        <v>2916622.34</v>
      </c>
      <c r="F17" s="65">
        <f>33300/30</f>
        <v>1110</v>
      </c>
      <c r="G17" s="64">
        <f>IF(ISBLANK(B17),"",E17/F17/30)</f>
        <v>87.58625645645644</v>
      </c>
      <c r="I17" s="64">
        <v>1195815.17</v>
      </c>
      <c r="J17" s="64">
        <v>1137482.69</v>
      </c>
      <c r="K17" s="64">
        <v>291662.26</v>
      </c>
      <c r="L17" s="64">
        <v>291662.26</v>
      </c>
    </row>
    <row r="18" spans="1:12" ht="12.75">
      <c r="A18" s="66">
        <v>43282</v>
      </c>
      <c r="B18" s="64">
        <v>46307455.97</v>
      </c>
      <c r="C18" s="64">
        <f>373217.75-45685</f>
        <v>327532.75</v>
      </c>
      <c r="D18" s="64">
        <f t="shared" si="0"/>
        <v>42923890.16</v>
      </c>
      <c r="E18" s="64">
        <v>3056033.06</v>
      </c>
      <c r="F18" s="65">
        <f>34410/31</f>
        <v>1110</v>
      </c>
      <c r="G18" s="64">
        <f aca="true" t="shared" si="1" ref="G18:G26">IF(ISBLANK(B18),"",E18/F18/31)</f>
        <v>88.81235280441733</v>
      </c>
      <c r="I18" s="64">
        <v>1252973.55</v>
      </c>
      <c r="J18" s="64">
        <v>1191852.89</v>
      </c>
      <c r="K18" s="64">
        <v>305603.3</v>
      </c>
      <c r="L18" s="64">
        <v>305603.32</v>
      </c>
    </row>
    <row r="19" spans="1:12" ht="12.75">
      <c r="A19" s="66">
        <v>43313</v>
      </c>
      <c r="B19" s="64">
        <v>42756164.28</v>
      </c>
      <c r="C19" s="64">
        <f>290499.76-25785</f>
        <v>264714.76</v>
      </c>
      <c r="D19" s="64">
        <f t="shared" si="0"/>
        <v>39580257.730000004</v>
      </c>
      <c r="E19" s="64">
        <v>2911191.79</v>
      </c>
      <c r="F19" s="65">
        <f>34410/31</f>
        <v>1110</v>
      </c>
      <c r="G19" s="64">
        <f t="shared" si="1"/>
        <v>84.60307439697763</v>
      </c>
      <c r="I19" s="64">
        <v>1193588.64</v>
      </c>
      <c r="J19" s="64">
        <v>1135364.81</v>
      </c>
      <c r="K19" s="64">
        <v>291119.19</v>
      </c>
      <c r="L19" s="64">
        <v>291119.19</v>
      </c>
    </row>
    <row r="20" spans="1:12" ht="12.75">
      <c r="A20" s="66">
        <v>43344</v>
      </c>
      <c r="B20" s="64">
        <v>39976699.62</v>
      </c>
      <c r="C20" s="64">
        <f>281480.15-21460</f>
        <v>260020.15000000002</v>
      </c>
      <c r="D20" s="64">
        <f t="shared" si="0"/>
        <v>36974568.85</v>
      </c>
      <c r="E20" s="64">
        <v>2742110.62</v>
      </c>
      <c r="F20" s="65">
        <f>33300/30</f>
        <v>1110</v>
      </c>
      <c r="G20" s="64">
        <f>IF(ISBLANK(B20),"",E20/F20/30)</f>
        <v>82.34566426426427</v>
      </c>
      <c r="I20" s="64">
        <v>1124265.36</v>
      </c>
      <c r="J20" s="64">
        <v>1069423.16</v>
      </c>
      <c r="K20" s="64">
        <v>274211.07</v>
      </c>
      <c r="L20" s="64">
        <v>274211.07</v>
      </c>
    </row>
    <row r="21" spans="1:12" ht="12.75">
      <c r="A21" s="66">
        <v>43374</v>
      </c>
      <c r="B21" s="64">
        <v>35231092.67</v>
      </c>
      <c r="C21" s="64">
        <v>405436.54</v>
      </c>
      <c r="D21" s="64">
        <f t="shared" si="0"/>
        <v>32434016.950000003</v>
      </c>
      <c r="E21" s="64">
        <v>2391639.18</v>
      </c>
      <c r="F21" s="65">
        <f>34410/31</f>
        <v>1110</v>
      </c>
      <c r="G21" s="64">
        <f t="shared" si="1"/>
        <v>69.50419006102877</v>
      </c>
      <c r="I21" s="64">
        <v>980572.07</v>
      </c>
      <c r="J21" s="64">
        <v>932739.29</v>
      </c>
      <c r="K21" s="64">
        <v>239163.92</v>
      </c>
      <c r="L21" s="64">
        <v>239163.92</v>
      </c>
    </row>
    <row r="22" spans="1:12" ht="12.75">
      <c r="A22" s="66">
        <v>43405</v>
      </c>
      <c r="B22" s="64">
        <v>30334634.73</v>
      </c>
      <c r="C22" s="64">
        <f>298925.27-23325</f>
        <v>275600.27</v>
      </c>
      <c r="D22" s="64">
        <f t="shared" si="0"/>
        <v>28017651.73</v>
      </c>
      <c r="E22" s="64">
        <v>2041382.73</v>
      </c>
      <c r="F22" s="65">
        <f>33100/30</f>
        <v>1103.3333333333333</v>
      </c>
      <c r="G22" s="64">
        <f>IF(ISBLANK(B22),"",E22/F22/30)</f>
        <v>61.673194259818736</v>
      </c>
      <c r="I22" s="64">
        <v>836966.95</v>
      </c>
      <c r="J22" s="64">
        <v>796139.27</v>
      </c>
      <c r="K22" s="64">
        <v>204138.27</v>
      </c>
      <c r="L22" s="64">
        <v>204138.27</v>
      </c>
    </row>
    <row r="23" spans="1:13" ht="12.75">
      <c r="A23" s="66">
        <v>43435</v>
      </c>
      <c r="B23" s="64">
        <v>30937247.42</v>
      </c>
      <c r="C23" s="64">
        <f>306919.31-25865</f>
        <v>281054.31</v>
      </c>
      <c r="D23" s="64">
        <f t="shared" si="0"/>
        <v>28602645.830000002</v>
      </c>
      <c r="E23" s="64">
        <v>2053547.28</v>
      </c>
      <c r="F23" s="65">
        <f>33790/31</f>
        <v>1090</v>
      </c>
      <c r="G23" s="64">
        <f t="shared" si="1"/>
        <v>60.77381710565256</v>
      </c>
      <c r="I23" s="64">
        <v>841954.4</v>
      </c>
      <c r="J23" s="64">
        <v>800883.45</v>
      </c>
      <c r="K23" s="64">
        <v>205354.73</v>
      </c>
      <c r="L23" s="64">
        <v>205354.75</v>
      </c>
      <c r="M23" s="64"/>
    </row>
    <row r="24" spans="1:12" ht="12.75">
      <c r="A24" s="66">
        <v>43466</v>
      </c>
      <c r="B24" s="64">
        <v>24115717.52</v>
      </c>
      <c r="C24" s="64">
        <f>198127.58-22830</f>
        <v>175297.58</v>
      </c>
      <c r="D24" s="64">
        <f t="shared" si="0"/>
        <v>22248975.34</v>
      </c>
      <c r="E24" s="64">
        <v>1691444.6</v>
      </c>
      <c r="F24" s="65">
        <f>33790/31</f>
        <v>1090</v>
      </c>
      <c r="G24" s="64">
        <f t="shared" si="1"/>
        <v>50.05754957087896</v>
      </c>
      <c r="I24" s="64">
        <v>693492.29</v>
      </c>
      <c r="J24" s="64">
        <v>659663.4</v>
      </c>
      <c r="K24" s="64">
        <v>169144.48</v>
      </c>
      <c r="L24" s="64">
        <v>169144.49</v>
      </c>
    </row>
    <row r="25" spans="1:12" ht="12.75">
      <c r="A25" s="66">
        <v>43497</v>
      </c>
      <c r="B25" s="64">
        <v>24367507.26</v>
      </c>
      <c r="C25" s="64">
        <f>214884.4-47005</f>
        <v>167879.4</v>
      </c>
      <c r="D25" s="64">
        <f t="shared" si="0"/>
        <v>22526025.130000003</v>
      </c>
      <c r="E25" s="64">
        <v>1673602.73</v>
      </c>
      <c r="F25" s="65">
        <f>30520/28</f>
        <v>1090</v>
      </c>
      <c r="G25" s="64">
        <f>IF(ISBLANK(B25),"",E25/F25/28)</f>
        <v>54.8362624508519</v>
      </c>
      <c r="I25" s="64">
        <v>686177.13</v>
      </c>
      <c r="J25" s="64">
        <v>652705.06</v>
      </c>
      <c r="K25" s="64">
        <v>167360.25</v>
      </c>
      <c r="L25" s="64">
        <v>167360.26</v>
      </c>
    </row>
    <row r="26" spans="1:12" ht="12.75">
      <c r="A26" s="66">
        <v>43525</v>
      </c>
      <c r="B26" s="64">
        <v>21822271.04</v>
      </c>
      <c r="C26" s="64">
        <f>0-1138</f>
        <v>-1138</v>
      </c>
      <c r="D26" s="64">
        <f t="shared" si="0"/>
        <v>20128982.86</v>
      </c>
      <c r="E26" s="64">
        <v>1694426.18</v>
      </c>
      <c r="F26" s="65">
        <f>33790/31</f>
        <v>1090</v>
      </c>
      <c r="G26" s="64">
        <f t="shared" si="1"/>
        <v>50.145788102989044</v>
      </c>
      <c r="I26" s="64">
        <v>694714.74</v>
      </c>
      <c r="J26" s="64">
        <v>660826.2</v>
      </c>
      <c r="K26" s="64">
        <v>169442.63</v>
      </c>
      <c r="L26" s="64">
        <v>169442.63</v>
      </c>
    </row>
    <row r="27" spans="1:12" ht="13.5" thickBot="1">
      <c r="A27" s="95" t="s">
        <v>20</v>
      </c>
      <c r="B27" s="92">
        <f>SUM(B15:B26)</f>
        <v>420336894.8</v>
      </c>
      <c r="C27" s="92">
        <f>SUM(C15:C26)</f>
        <v>1794527.0799999998</v>
      </c>
      <c r="D27" s="92">
        <f>SUM(D15:D26)</f>
        <v>388374262.82</v>
      </c>
      <c r="E27" s="92">
        <f>SUM(E15:E26)</f>
        <v>30168104.900000006</v>
      </c>
      <c r="F27" s="94">
        <f>AVERAGE(F15:F26)</f>
        <v>1102.7777777777778</v>
      </c>
      <c r="G27" s="92">
        <f>AVERAGE(G15:G26)</f>
        <v>74.69391029023576</v>
      </c>
      <c r="H27" s="93"/>
      <c r="I27" s="92">
        <f>SUM(I15:I26)</f>
        <v>12368923.11</v>
      </c>
      <c r="J27" s="92">
        <f>SUM(J15:J26)</f>
        <v>11765560.97</v>
      </c>
      <c r="K27" s="92">
        <f>SUM(K15:K26)</f>
        <v>3016810.56</v>
      </c>
      <c r="L27" s="92">
        <f>SUM(L15:L26)</f>
        <v>3016810.62</v>
      </c>
    </row>
    <row r="28" spans="2:12" ht="10.5" customHeight="1" thickTop="1">
      <c r="B28" s="91"/>
      <c r="C28" s="91"/>
      <c r="D28" s="91"/>
      <c r="E28" s="91"/>
      <c r="I28" s="91"/>
      <c r="J28" s="91"/>
      <c r="K28" s="91"/>
      <c r="L28" s="91"/>
    </row>
    <row r="29" spans="1:12" s="88" customFormat="1" ht="12.75">
      <c r="A29" s="90"/>
      <c r="B29" s="89"/>
      <c r="C29" s="89">
        <f>C27/B27</f>
        <v>0.004269259021037998</v>
      </c>
      <c r="D29" s="89">
        <f>D27/B27</f>
        <v>0.9239594896964538</v>
      </c>
      <c r="E29" s="89">
        <f>E27/B27</f>
        <v>0.07177125128250818</v>
      </c>
      <c r="I29" s="89">
        <f>I27/$E$27</f>
        <v>0.4100000033479066</v>
      </c>
      <c r="J29" s="89">
        <f>J27/$E$27</f>
        <v>0.39000000195570783</v>
      </c>
      <c r="K29" s="89">
        <f>K27/$E$27</f>
        <v>0.10000000232033135</v>
      </c>
      <c r="L29" s="89">
        <f>L27/$E$27</f>
        <v>0.1000000043091868</v>
      </c>
    </row>
    <row r="31" spans="1:12" s="69" customFormat="1" ht="12.75">
      <c r="A31" s="114" t="s">
        <v>21</v>
      </c>
      <c r="B31" s="115"/>
      <c r="C31" s="115"/>
      <c r="D31" s="115"/>
      <c r="E31" s="115"/>
      <c r="F31" s="115"/>
      <c r="G31" s="115"/>
      <c r="H31" s="115"/>
      <c r="I31" s="115"/>
      <c r="J31" s="115"/>
      <c r="K31" s="115"/>
      <c r="L31" s="116"/>
    </row>
    <row r="32" ht="12.75">
      <c r="A32" s="68"/>
    </row>
    <row r="33" spans="1:12" s="45" customFormat="1" ht="12.75" customHeight="1">
      <c r="A33" s="41" t="s">
        <v>22</v>
      </c>
      <c r="B33" s="42"/>
      <c r="C33" s="43" t="s">
        <v>86</v>
      </c>
      <c r="D33" s="44"/>
      <c r="E33" s="44"/>
      <c r="F33" s="44"/>
      <c r="G33" s="44"/>
      <c r="H33" s="44"/>
      <c r="I33" s="44"/>
      <c r="J33" s="44"/>
      <c r="K33" s="44"/>
      <c r="L33" s="44"/>
    </row>
    <row r="34" spans="1:12" s="45" customFormat="1" ht="12.75" customHeight="1">
      <c r="A34" s="41"/>
      <c r="B34" s="42"/>
      <c r="C34" s="43" t="s">
        <v>87</v>
      </c>
      <c r="D34" s="44"/>
      <c r="E34" s="44"/>
      <c r="F34" s="44"/>
      <c r="G34" s="44"/>
      <c r="H34" s="44"/>
      <c r="I34" s="44"/>
      <c r="J34" s="44"/>
      <c r="K34" s="44"/>
      <c r="L34" s="44"/>
    </row>
    <row r="35" spans="1:13" ht="6" customHeight="1">
      <c r="A35" s="87"/>
      <c r="B35" s="71"/>
      <c r="C35" s="71"/>
      <c r="D35" s="71"/>
      <c r="F35" s="71"/>
      <c r="G35" s="71"/>
      <c r="H35" s="71"/>
      <c r="I35" s="71"/>
      <c r="J35" s="71"/>
      <c r="K35" s="71"/>
      <c r="L35" s="71"/>
      <c r="M35" s="71"/>
    </row>
    <row r="36" spans="1:13" ht="12.75">
      <c r="A36" s="87" t="s">
        <v>89</v>
      </c>
      <c r="B36" s="71"/>
      <c r="C36" s="71" t="s">
        <v>58</v>
      </c>
      <c r="F36" s="71"/>
      <c r="G36" s="71"/>
      <c r="H36" s="71"/>
      <c r="I36" s="71"/>
      <c r="J36" s="71"/>
      <c r="K36" s="71"/>
      <c r="L36" s="71"/>
      <c r="M36" s="71"/>
    </row>
    <row r="37" spans="1:13" ht="6" customHeight="1">
      <c r="A37" s="87"/>
      <c r="B37" s="71"/>
      <c r="C37" s="71"/>
      <c r="D37" s="71"/>
      <c r="F37" s="71"/>
      <c r="G37" s="71"/>
      <c r="H37" s="71"/>
      <c r="I37" s="71"/>
      <c r="J37" s="71"/>
      <c r="K37" s="71"/>
      <c r="L37" s="71"/>
      <c r="M37" s="71"/>
    </row>
    <row r="38" spans="1:12" s="45" customFormat="1" ht="12.75">
      <c r="A38" s="41" t="s">
        <v>23</v>
      </c>
      <c r="B38" s="42"/>
      <c r="C38" s="43" t="s">
        <v>94</v>
      </c>
      <c r="D38" s="46"/>
      <c r="E38" s="43"/>
      <c r="F38" s="43"/>
      <c r="G38" s="43"/>
      <c r="H38" s="43"/>
      <c r="I38" s="42"/>
      <c r="J38" s="42"/>
      <c r="K38" s="42"/>
      <c r="L38" s="42"/>
    </row>
    <row r="39" spans="1:12" s="45" customFormat="1" ht="6" customHeight="1">
      <c r="A39" s="41"/>
      <c r="B39" s="42"/>
      <c r="C39" s="43"/>
      <c r="D39" s="46"/>
      <c r="E39" s="43"/>
      <c r="F39" s="43"/>
      <c r="G39" s="43"/>
      <c r="H39" s="43"/>
      <c r="I39" s="42"/>
      <c r="J39" s="42"/>
      <c r="K39" s="42"/>
      <c r="L39" s="42"/>
    </row>
    <row r="40" spans="1:12" s="45" customFormat="1" ht="12.75">
      <c r="A40" s="41" t="s">
        <v>25</v>
      </c>
      <c r="B40" s="42"/>
      <c r="C40" s="42" t="s">
        <v>59</v>
      </c>
      <c r="D40" s="46"/>
      <c r="E40" s="47"/>
      <c r="F40" s="42"/>
      <c r="G40" s="42"/>
      <c r="H40" s="42"/>
      <c r="I40" s="42"/>
      <c r="J40" s="42"/>
      <c r="K40" s="42"/>
      <c r="L40" s="42"/>
    </row>
    <row r="41" spans="1:12" s="45" customFormat="1" ht="12.75">
      <c r="A41" s="41"/>
      <c r="B41" s="42"/>
      <c r="C41" s="42" t="s">
        <v>60</v>
      </c>
      <c r="D41" s="46"/>
      <c r="E41" s="47"/>
      <c r="F41" s="42"/>
      <c r="G41" s="42"/>
      <c r="H41" s="42"/>
      <c r="I41" s="42"/>
      <c r="J41" s="42"/>
      <c r="K41" s="42"/>
      <c r="L41" s="42"/>
    </row>
    <row r="42" spans="1:12" s="45" customFormat="1" ht="6" customHeight="1">
      <c r="A42" s="41"/>
      <c r="B42" s="42"/>
      <c r="C42" s="42"/>
      <c r="D42" s="46"/>
      <c r="E42" s="47"/>
      <c r="F42" s="42"/>
      <c r="G42" s="42"/>
      <c r="H42" s="42"/>
      <c r="I42" s="42"/>
      <c r="J42" s="42"/>
      <c r="K42" s="42"/>
      <c r="L42" s="42"/>
    </row>
    <row r="43" spans="1:12" s="45" customFormat="1" ht="12.75">
      <c r="A43" s="41" t="s">
        <v>28</v>
      </c>
      <c r="B43" s="42"/>
      <c r="C43" s="42" t="s">
        <v>29</v>
      </c>
      <c r="D43" s="46"/>
      <c r="E43" s="47"/>
      <c r="F43" s="42"/>
      <c r="G43" s="42"/>
      <c r="H43" s="42"/>
      <c r="I43" s="42"/>
      <c r="J43" s="42"/>
      <c r="K43" s="42"/>
      <c r="L43" s="42"/>
    </row>
    <row r="44" spans="1:12" s="45" customFormat="1" ht="6" customHeight="1">
      <c r="A44" s="41"/>
      <c r="B44" s="42"/>
      <c r="C44" s="42"/>
      <c r="D44" s="46"/>
      <c r="E44" s="47"/>
      <c r="F44" s="42"/>
      <c r="G44" s="42"/>
      <c r="H44" s="42"/>
      <c r="I44" s="42"/>
      <c r="J44" s="42"/>
      <c r="K44" s="42"/>
      <c r="L44" s="42"/>
    </row>
    <row r="45" spans="1:12" s="45" customFormat="1" ht="12.75">
      <c r="A45" s="41" t="s">
        <v>67</v>
      </c>
      <c r="B45" s="42"/>
      <c r="C45" s="42" t="s">
        <v>68</v>
      </c>
      <c r="D45" s="46"/>
      <c r="E45" s="47"/>
      <c r="F45" s="42"/>
      <c r="G45" s="42"/>
      <c r="H45" s="42"/>
      <c r="I45" s="42"/>
      <c r="J45" s="42"/>
      <c r="K45" s="42"/>
      <c r="L45" s="42"/>
    </row>
    <row r="46" spans="1:12" s="45" customFormat="1" ht="12.75">
      <c r="A46" s="41"/>
      <c r="B46" s="42"/>
      <c r="C46" s="42" t="s">
        <v>77</v>
      </c>
      <c r="D46" s="46"/>
      <c r="E46" s="47"/>
      <c r="F46" s="42"/>
      <c r="G46" s="42"/>
      <c r="H46" s="42"/>
      <c r="I46" s="42"/>
      <c r="J46" s="42"/>
      <c r="K46" s="42"/>
      <c r="L46" s="42"/>
    </row>
    <row r="47" spans="1:12" s="45" customFormat="1" ht="12.75">
      <c r="A47" s="41"/>
      <c r="B47" s="42"/>
      <c r="C47" s="42" t="s">
        <v>78</v>
      </c>
      <c r="D47" s="46"/>
      <c r="E47" s="47"/>
      <c r="F47" s="42"/>
      <c r="G47" s="42"/>
      <c r="H47" s="42"/>
      <c r="I47" s="42"/>
      <c r="J47" s="42"/>
      <c r="K47" s="42"/>
      <c r="L47" s="42"/>
    </row>
    <row r="48" spans="1:12" s="45" customFormat="1" ht="6" customHeight="1">
      <c r="A48" s="41"/>
      <c r="B48" s="42"/>
      <c r="C48" s="42"/>
      <c r="D48" s="46"/>
      <c r="E48" s="47"/>
      <c r="F48" s="42"/>
      <c r="G48" s="42"/>
      <c r="H48" s="42"/>
      <c r="I48" s="42"/>
      <c r="J48" s="42"/>
      <c r="K48" s="42"/>
      <c r="L48" s="42"/>
    </row>
    <row r="49" spans="1:12" s="45" customFormat="1" ht="12.75">
      <c r="A49" s="41" t="s">
        <v>30</v>
      </c>
      <c r="B49" s="42"/>
      <c r="C49" s="42" t="s">
        <v>69</v>
      </c>
      <c r="D49" s="46"/>
      <c r="E49" s="47"/>
      <c r="F49" s="42"/>
      <c r="G49" s="42"/>
      <c r="H49" s="42"/>
      <c r="I49" s="42"/>
      <c r="J49" s="42"/>
      <c r="K49" s="42"/>
      <c r="L49" s="42"/>
    </row>
    <row r="50" spans="1:12" s="45" customFormat="1" ht="12.75">
      <c r="A50" s="41"/>
      <c r="B50" s="42"/>
      <c r="C50" s="42" t="s">
        <v>70</v>
      </c>
      <c r="D50" s="46"/>
      <c r="E50" s="47"/>
      <c r="F50" s="42"/>
      <c r="G50" s="42"/>
      <c r="H50" s="42"/>
      <c r="I50" s="42"/>
      <c r="J50" s="42"/>
      <c r="K50" s="42"/>
      <c r="L50" s="42"/>
    </row>
    <row r="51" spans="1:12" s="45" customFormat="1" ht="6" customHeight="1">
      <c r="A51" s="41"/>
      <c r="B51" s="42"/>
      <c r="C51" s="42"/>
      <c r="D51" s="46"/>
      <c r="E51" s="47"/>
      <c r="F51" s="42"/>
      <c r="G51" s="42"/>
      <c r="H51" s="42"/>
      <c r="I51" s="42"/>
      <c r="J51" s="42"/>
      <c r="K51" s="42"/>
      <c r="L51" s="42"/>
    </row>
    <row r="52" spans="1:12" s="45" customFormat="1" ht="12.75">
      <c r="A52" s="41" t="s">
        <v>79</v>
      </c>
      <c r="B52" s="42"/>
      <c r="C52" s="42" t="s">
        <v>72</v>
      </c>
      <c r="D52" s="46"/>
      <c r="E52" s="47"/>
      <c r="F52" s="42"/>
      <c r="G52" s="42"/>
      <c r="H52" s="42"/>
      <c r="I52" s="42"/>
      <c r="J52" s="42"/>
      <c r="K52" s="42"/>
      <c r="L52" s="42"/>
    </row>
    <row r="53" spans="1:12" s="45" customFormat="1" ht="12.75">
      <c r="A53" s="48"/>
      <c r="B53" s="42"/>
      <c r="C53" s="42" t="s">
        <v>73</v>
      </c>
      <c r="D53" s="46"/>
      <c r="E53" s="47"/>
      <c r="F53" s="42"/>
      <c r="G53" s="42"/>
      <c r="H53" s="42"/>
      <c r="I53" s="42"/>
      <c r="J53" s="42"/>
      <c r="K53" s="42"/>
      <c r="L53" s="42"/>
    </row>
    <row r="54" spans="1:12" s="45" customFormat="1" ht="6" customHeight="1">
      <c r="A54" s="49"/>
      <c r="B54" s="50"/>
      <c r="C54" s="50"/>
      <c r="D54" s="50"/>
      <c r="E54" s="51"/>
      <c r="F54" s="50"/>
      <c r="G54" s="50"/>
      <c r="H54" s="50"/>
      <c r="I54" s="50"/>
      <c r="J54" s="50"/>
      <c r="K54" s="50"/>
      <c r="L54" s="50"/>
    </row>
    <row r="55" spans="1:12" s="45" customFormat="1" ht="12.75">
      <c r="A55" s="41" t="s">
        <v>104</v>
      </c>
      <c r="B55" s="16"/>
      <c r="C55" s="107" t="s">
        <v>105</v>
      </c>
      <c r="D55" s="16"/>
      <c r="E55" s="16"/>
      <c r="F55" s="17"/>
      <c r="G55" s="16"/>
      <c r="H55" s="16"/>
      <c r="I55" s="16"/>
      <c r="J55" s="16"/>
      <c r="K55" s="16"/>
      <c r="L55" s="16"/>
    </row>
    <row r="56" spans="1:12" s="45" customFormat="1" ht="12.75">
      <c r="A56" s="3"/>
      <c r="B56" s="16"/>
      <c r="C56" s="108" t="s">
        <v>109</v>
      </c>
      <c r="D56" s="16"/>
      <c r="E56" s="16"/>
      <c r="F56" s="17"/>
      <c r="G56" s="16"/>
      <c r="H56" s="16"/>
      <c r="I56" s="16"/>
      <c r="J56" s="16"/>
      <c r="K56" s="16"/>
      <c r="L56" s="16"/>
    </row>
    <row r="57" spans="1:12" ht="12.75">
      <c r="A57" s="86"/>
      <c r="B57" s="84"/>
      <c r="C57" s="84"/>
      <c r="D57" s="84"/>
      <c r="E57" s="84"/>
      <c r="F57" s="85"/>
      <c r="G57" s="84"/>
      <c r="H57" s="84"/>
      <c r="I57" s="84"/>
      <c r="J57" s="84"/>
      <c r="K57" s="84"/>
      <c r="L57" s="84"/>
    </row>
    <row r="58" spans="1:12" s="69" customFormat="1" ht="12.75">
      <c r="A58" s="114" t="s">
        <v>31</v>
      </c>
      <c r="B58" s="115"/>
      <c r="C58" s="115"/>
      <c r="D58" s="115"/>
      <c r="E58" s="115"/>
      <c r="F58" s="115"/>
      <c r="G58" s="115"/>
      <c r="H58" s="115"/>
      <c r="I58" s="115"/>
      <c r="J58" s="115"/>
      <c r="K58" s="115"/>
      <c r="L58" s="116"/>
    </row>
    <row r="59" ht="12.75">
      <c r="A59" s="68"/>
    </row>
    <row r="60" spans="1:12" ht="13.5">
      <c r="A60" s="83"/>
      <c r="E60" s="82" t="s">
        <v>9</v>
      </c>
      <c r="F60" s="117" t="s">
        <v>80</v>
      </c>
      <c r="G60" s="117"/>
      <c r="H60" s="117"/>
      <c r="I60" s="117"/>
      <c r="J60" s="82" t="s">
        <v>10</v>
      </c>
      <c r="K60" s="53" t="s">
        <v>75</v>
      </c>
      <c r="L60" s="82"/>
    </row>
    <row r="61" spans="1:12" ht="12.75">
      <c r="A61" s="81"/>
      <c r="E61" s="78" t="s">
        <v>17</v>
      </c>
      <c r="F61" s="78" t="s">
        <v>81</v>
      </c>
      <c r="G61" s="80" t="s">
        <v>82</v>
      </c>
      <c r="H61" s="79"/>
      <c r="I61" s="78" t="s">
        <v>83</v>
      </c>
      <c r="J61" s="78" t="s">
        <v>19</v>
      </c>
      <c r="K61" s="54" t="s">
        <v>76</v>
      </c>
      <c r="L61" s="77"/>
    </row>
    <row r="62" spans="2:12" ht="12.75">
      <c r="B62" s="73" t="s">
        <v>38</v>
      </c>
      <c r="C62" s="73"/>
      <c r="D62" s="73"/>
      <c r="E62" s="74">
        <v>0.41</v>
      </c>
      <c r="F62" s="74">
        <v>0.29</v>
      </c>
      <c r="G62" s="76">
        <v>0.0875</v>
      </c>
      <c r="H62" s="75"/>
      <c r="I62" s="74">
        <v>0.0125</v>
      </c>
      <c r="J62" s="74">
        <v>0.1</v>
      </c>
      <c r="K62" s="74">
        <v>0.1</v>
      </c>
      <c r="L62" s="70"/>
    </row>
    <row r="63" spans="2:12" ht="12.75">
      <c r="B63" s="73" t="s">
        <v>39</v>
      </c>
      <c r="C63" s="73"/>
      <c r="D63" s="73"/>
      <c r="E63" s="74">
        <v>0.52</v>
      </c>
      <c r="F63" s="74">
        <v>0.18</v>
      </c>
      <c r="G63" s="76">
        <v>0.0875</v>
      </c>
      <c r="H63" s="75"/>
      <c r="I63" s="74">
        <v>0.0125</v>
      </c>
      <c r="J63" s="74">
        <v>0.1</v>
      </c>
      <c r="K63" s="74">
        <v>0.1</v>
      </c>
      <c r="L63" s="70"/>
    </row>
    <row r="64" spans="2:12" ht="12.75">
      <c r="B64" s="73" t="s">
        <v>40</v>
      </c>
      <c r="C64" s="73"/>
      <c r="D64" s="73"/>
      <c r="E64" s="74">
        <v>0.54</v>
      </c>
      <c r="F64" s="74">
        <v>0.18</v>
      </c>
      <c r="G64" s="76">
        <v>0.0875</v>
      </c>
      <c r="H64" s="75"/>
      <c r="I64" s="74">
        <v>0.0125</v>
      </c>
      <c r="J64" s="74">
        <v>0.08</v>
      </c>
      <c r="K64" s="74">
        <v>0.1</v>
      </c>
      <c r="L64" s="70"/>
    </row>
    <row r="65" spans="2:12" ht="12.75">
      <c r="B65" s="73" t="s">
        <v>41</v>
      </c>
      <c r="C65" s="73"/>
      <c r="D65" s="73"/>
      <c r="E65" s="74">
        <v>0.57</v>
      </c>
      <c r="F65" s="74">
        <v>0.15</v>
      </c>
      <c r="G65" s="76">
        <v>0.0875</v>
      </c>
      <c r="H65" s="75"/>
      <c r="I65" s="74">
        <v>0.0125</v>
      </c>
      <c r="J65" s="74">
        <v>0.08</v>
      </c>
      <c r="K65" s="74">
        <v>0.1</v>
      </c>
      <c r="L65" s="70"/>
    </row>
    <row r="66" spans="2:12" ht="12.75">
      <c r="B66" s="73"/>
      <c r="C66" s="73"/>
      <c r="D66" s="73"/>
      <c r="E66" s="71"/>
      <c r="F66" s="72"/>
      <c r="G66" s="70"/>
      <c r="H66" s="71"/>
      <c r="I66" s="70"/>
      <c r="J66" s="70"/>
      <c r="K66" s="70"/>
      <c r="L66" s="70"/>
    </row>
    <row r="67" spans="1:12" s="69" customFormat="1" ht="12.75">
      <c r="A67" s="118" t="s">
        <v>44</v>
      </c>
      <c r="B67" s="119"/>
      <c r="C67" s="119"/>
      <c r="D67" s="119"/>
      <c r="E67" s="119"/>
      <c r="F67" s="119"/>
      <c r="G67" s="119"/>
      <c r="H67" s="119"/>
      <c r="I67" s="119"/>
      <c r="J67" s="119"/>
      <c r="K67" s="119"/>
      <c r="L67" s="120"/>
    </row>
    <row r="68" spans="1:6" ht="12.75">
      <c r="A68" s="68"/>
      <c r="E68" s="63"/>
      <c r="F68" s="64"/>
    </row>
    <row r="69" spans="1:12" ht="52.5" customHeight="1">
      <c r="A69" s="121" t="s">
        <v>111</v>
      </c>
      <c r="B69" s="121"/>
      <c r="C69" s="121"/>
      <c r="D69" s="121"/>
      <c r="E69" s="121"/>
      <c r="F69" s="121"/>
      <c r="G69" s="121"/>
      <c r="H69" s="121"/>
      <c r="I69" s="121"/>
      <c r="J69" s="121"/>
      <c r="K69" s="121"/>
      <c r="L69" s="121"/>
    </row>
    <row r="70" spans="1:6" ht="12.75">
      <c r="A70" s="64"/>
      <c r="E70" s="63"/>
      <c r="F70" s="64"/>
    </row>
    <row r="71" spans="2:5" ht="12.75">
      <c r="B71" s="68" t="s">
        <v>45</v>
      </c>
      <c r="C71" s="68"/>
      <c r="D71" s="68"/>
      <c r="E71" s="64">
        <v>291205</v>
      </c>
    </row>
    <row r="72" spans="2:5" ht="12.75">
      <c r="B72" s="68" t="s">
        <v>46</v>
      </c>
      <c r="C72" s="68"/>
      <c r="D72" s="68"/>
      <c r="E72" s="64">
        <v>634506</v>
      </c>
    </row>
    <row r="73" spans="2:5" ht="12.75">
      <c r="B73" s="64" t="s">
        <v>47</v>
      </c>
      <c r="E73" s="64">
        <v>308570</v>
      </c>
    </row>
    <row r="74" ht="12.75">
      <c r="E74" s="64" t="s">
        <v>32</v>
      </c>
    </row>
    <row r="76" ht="12.75">
      <c r="A76" s="67" t="s">
        <v>90</v>
      </c>
    </row>
  </sheetData>
  <sheetProtection/>
  <mergeCells count="12">
    <mergeCell ref="A8:L8"/>
    <mergeCell ref="I10:L10"/>
    <mergeCell ref="A31:L31"/>
    <mergeCell ref="A58:L58"/>
    <mergeCell ref="F60:I60"/>
    <mergeCell ref="A67:L67"/>
    <mergeCell ref="A69:L69"/>
    <mergeCell ref="A1:L1"/>
    <mergeCell ref="A2:L2"/>
    <mergeCell ref="A3:L3"/>
    <mergeCell ref="A4:L4"/>
    <mergeCell ref="A5:L5"/>
  </mergeCells>
  <hyperlinks>
    <hyperlink ref="A4" r:id="rId1" display="www.monticellocasinoandraceway.com"/>
  </hyperlinks>
  <printOptions horizontalCentered="1"/>
  <pageMargins left="0.25" right="0.25" top="0.75" bottom="0.5" header="0.5" footer="0.5"/>
  <pageSetup fitToHeight="1" fitToWidth="1" horizontalDpi="600" verticalDpi="600" orientation="portrait" scale="74"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M74"/>
  <sheetViews>
    <sheetView zoomScalePageLayoutView="0" workbookViewId="0" topLeftCell="A1">
      <selection activeCell="F29" sqref="F29"/>
    </sheetView>
  </sheetViews>
  <sheetFormatPr defaultColWidth="9.140625" defaultRowHeight="12.75"/>
  <cols>
    <col min="1" max="1" width="9.28125" style="3" customWidth="1"/>
    <col min="2" max="2" width="14.140625" style="16" customWidth="1"/>
    <col min="3" max="3" width="11.7109375" style="16" customWidth="1"/>
    <col min="4" max="4" width="14.140625" style="16" customWidth="1"/>
    <col min="5" max="5" width="12.7109375" style="16" customWidth="1"/>
    <col min="6" max="6" width="8.8515625" style="17" customWidth="1"/>
    <col min="7" max="7" width="10.28125" style="16" customWidth="1"/>
    <col min="8" max="8" width="1.421875" style="16" customWidth="1"/>
    <col min="9" max="10" width="11.7109375" style="16" bestFit="1" customWidth="1"/>
    <col min="11" max="12" width="12.8515625" style="16" bestFit="1" customWidth="1"/>
    <col min="13" max="13" width="12.7109375" style="0" customWidth="1"/>
  </cols>
  <sheetData>
    <row r="1" spans="1:12" ht="17.25">
      <c r="A1" s="130" t="s">
        <v>55</v>
      </c>
      <c r="B1" s="130"/>
      <c r="C1" s="130"/>
      <c r="D1" s="130"/>
      <c r="E1" s="130"/>
      <c r="F1" s="130"/>
      <c r="G1" s="130"/>
      <c r="H1" s="130"/>
      <c r="I1" s="130"/>
      <c r="J1" s="130"/>
      <c r="K1" s="130"/>
      <c r="L1" s="130"/>
    </row>
    <row r="2" spans="1:12" ht="15">
      <c r="A2" s="131" t="s">
        <v>0</v>
      </c>
      <c r="B2" s="131"/>
      <c r="C2" s="131"/>
      <c r="D2" s="131"/>
      <c r="E2" s="131"/>
      <c r="F2" s="131"/>
      <c r="G2" s="131"/>
      <c r="H2" s="131"/>
      <c r="I2" s="131"/>
      <c r="J2" s="131"/>
      <c r="K2" s="131"/>
      <c r="L2" s="131"/>
    </row>
    <row r="3" spans="1:12" s="1" customFormat="1" ht="15">
      <c r="A3" s="131" t="s">
        <v>1</v>
      </c>
      <c r="B3" s="131"/>
      <c r="C3" s="131"/>
      <c r="D3" s="131"/>
      <c r="E3" s="131"/>
      <c r="F3" s="131"/>
      <c r="G3" s="131"/>
      <c r="H3" s="131"/>
      <c r="I3" s="131"/>
      <c r="J3" s="131"/>
      <c r="K3" s="131"/>
      <c r="L3" s="131"/>
    </row>
    <row r="4" spans="1:12" s="1" customFormat="1" ht="15">
      <c r="A4" s="112" t="s">
        <v>91</v>
      </c>
      <c r="B4" s="112"/>
      <c r="C4" s="112"/>
      <c r="D4" s="112"/>
      <c r="E4" s="112"/>
      <c r="F4" s="112"/>
      <c r="G4" s="112"/>
      <c r="H4" s="112"/>
      <c r="I4" s="112"/>
      <c r="J4" s="112"/>
      <c r="K4" s="112"/>
      <c r="L4" s="112"/>
    </row>
    <row r="5" spans="1:12" s="1" customFormat="1" ht="13.5">
      <c r="A5" s="132" t="s">
        <v>3</v>
      </c>
      <c r="B5" s="132"/>
      <c r="C5" s="132"/>
      <c r="D5" s="132"/>
      <c r="E5" s="132"/>
      <c r="F5" s="132"/>
      <c r="G5" s="132"/>
      <c r="H5" s="132"/>
      <c r="I5" s="132"/>
      <c r="J5" s="132"/>
      <c r="K5" s="132"/>
      <c r="L5" s="132"/>
    </row>
    <row r="6" spans="1:12" s="1" customFormat="1" ht="13.5">
      <c r="A6" s="2"/>
      <c r="B6" s="2"/>
      <c r="C6" s="2"/>
      <c r="D6" s="2"/>
      <c r="E6" s="2"/>
      <c r="F6" s="2"/>
      <c r="G6" s="2"/>
      <c r="H6" s="2"/>
      <c r="I6" s="2"/>
      <c r="J6" s="2"/>
      <c r="K6" s="2"/>
      <c r="L6" s="2"/>
    </row>
    <row r="7" spans="1:12" s="1" customFormat="1" ht="12.75">
      <c r="A7" s="3"/>
      <c r="B7" s="4"/>
      <c r="C7" s="4"/>
      <c r="D7" s="4"/>
      <c r="E7" s="5"/>
      <c r="F7" s="6"/>
      <c r="G7" s="5"/>
      <c r="H7" s="5"/>
      <c r="I7" s="5"/>
      <c r="J7" s="5"/>
      <c r="K7" s="5"/>
      <c r="L7" s="5"/>
    </row>
    <row r="8" spans="1:12" s="7" customFormat="1" ht="14.25" customHeight="1">
      <c r="A8" s="123" t="s">
        <v>101</v>
      </c>
      <c r="B8" s="124"/>
      <c r="C8" s="124"/>
      <c r="D8" s="124"/>
      <c r="E8" s="124"/>
      <c r="F8" s="124"/>
      <c r="G8" s="124"/>
      <c r="H8" s="124"/>
      <c r="I8" s="124"/>
      <c r="J8" s="124"/>
      <c r="K8" s="124"/>
      <c r="L8" s="125"/>
    </row>
    <row r="9" spans="1:12" s="1" customFormat="1" ht="9" customHeight="1">
      <c r="A9" s="3"/>
      <c r="B9" s="4"/>
      <c r="C9" s="4"/>
      <c r="D9" s="4"/>
      <c r="E9" s="5"/>
      <c r="F9" s="6"/>
      <c r="G9" s="5"/>
      <c r="H9" s="5"/>
      <c r="I9" s="5"/>
      <c r="J9" s="5"/>
      <c r="K9" s="5"/>
      <c r="L9" s="5"/>
    </row>
    <row r="10" spans="1:12" s="1" customFormat="1" ht="12.75">
      <c r="A10" s="3"/>
      <c r="B10" s="5"/>
      <c r="C10" s="5"/>
      <c r="D10" s="5"/>
      <c r="E10" s="5"/>
      <c r="F10" s="6"/>
      <c r="G10" s="5"/>
      <c r="H10" s="5"/>
      <c r="I10" s="122" t="s">
        <v>5</v>
      </c>
      <c r="J10" s="122"/>
      <c r="K10" s="122"/>
      <c r="L10" s="122"/>
    </row>
    <row r="11" spans="1:12" s="1" customFormat="1" ht="12" customHeight="1">
      <c r="A11" s="3"/>
      <c r="B11" s="5"/>
      <c r="C11" s="10"/>
      <c r="D11" s="5"/>
      <c r="E11" s="5"/>
      <c r="F11" s="6"/>
      <c r="G11" s="5"/>
      <c r="H11" s="5"/>
      <c r="I11" s="5"/>
      <c r="J11" s="5"/>
      <c r="K11" s="5"/>
      <c r="L11" s="5"/>
    </row>
    <row r="12" spans="1:12" s="12" customFormat="1" ht="12">
      <c r="A12" s="9"/>
      <c r="B12" s="10" t="s">
        <v>6</v>
      </c>
      <c r="C12" s="10" t="s">
        <v>61</v>
      </c>
      <c r="D12" s="10" t="s">
        <v>6</v>
      </c>
      <c r="E12" s="10"/>
      <c r="F12" s="11" t="s">
        <v>7</v>
      </c>
      <c r="G12" s="10" t="s">
        <v>8</v>
      </c>
      <c r="H12" s="10"/>
      <c r="I12" s="10" t="s">
        <v>9</v>
      </c>
      <c r="J12" s="10" t="s">
        <v>74</v>
      </c>
      <c r="K12" s="10" t="s">
        <v>10</v>
      </c>
      <c r="L12" s="10" t="s">
        <v>75</v>
      </c>
    </row>
    <row r="13" spans="1:12" s="12" customFormat="1" ht="12">
      <c r="A13" s="13" t="s">
        <v>11</v>
      </c>
      <c r="B13" s="8" t="s">
        <v>12</v>
      </c>
      <c r="C13" s="8" t="s">
        <v>19</v>
      </c>
      <c r="D13" s="8" t="s">
        <v>13</v>
      </c>
      <c r="E13" s="8" t="s">
        <v>14</v>
      </c>
      <c r="F13" s="14" t="s">
        <v>15</v>
      </c>
      <c r="G13" s="8" t="s">
        <v>16</v>
      </c>
      <c r="H13" s="15"/>
      <c r="I13" s="8" t="s">
        <v>17</v>
      </c>
      <c r="J13" s="8" t="s">
        <v>18</v>
      </c>
      <c r="K13" s="8" t="s">
        <v>19</v>
      </c>
      <c r="L13" s="8" t="s">
        <v>76</v>
      </c>
    </row>
    <row r="15" spans="1:12" ht="12.75">
      <c r="A15" s="3">
        <v>42826</v>
      </c>
      <c r="B15" s="16">
        <v>79421307.44</v>
      </c>
      <c r="C15" s="16">
        <v>1038849.3600000001</v>
      </c>
      <c r="D15" s="16">
        <f aca="true" t="shared" si="0" ref="D15:D26">+B15-C15-E15</f>
        <v>73158511.69</v>
      </c>
      <c r="E15" s="16">
        <v>5223946.39</v>
      </c>
      <c r="F15" s="17">
        <f>33300/30</f>
        <v>1110</v>
      </c>
      <c r="G15" s="16">
        <f>E15/F15/30</f>
        <v>156.87526696696696</v>
      </c>
      <c r="I15" s="16">
        <v>2037339.1</v>
      </c>
      <c r="J15" s="16">
        <v>2141818.02</v>
      </c>
      <c r="K15" s="16">
        <v>522394.64000000013</v>
      </c>
      <c r="L15" s="16">
        <v>522394.64000000013</v>
      </c>
    </row>
    <row r="16" spans="1:12" ht="12.75">
      <c r="A16" s="3">
        <v>42856</v>
      </c>
      <c r="B16" s="16">
        <v>80104388.33</v>
      </c>
      <c r="C16" s="16">
        <v>1023230.9099999999</v>
      </c>
      <c r="D16" s="16">
        <f t="shared" si="0"/>
        <v>73805185.6</v>
      </c>
      <c r="E16" s="16">
        <v>5275971.820000001</v>
      </c>
      <c r="F16" s="17">
        <f>34410/31</f>
        <v>1110</v>
      </c>
      <c r="G16" s="16">
        <f>+E16/F16/31</f>
        <v>153.32670212147633</v>
      </c>
      <c r="I16" s="16">
        <v>2057629.0399999996</v>
      </c>
      <c r="J16" s="16">
        <v>2163148.4500000007</v>
      </c>
      <c r="K16" s="16">
        <v>527597.1900000002</v>
      </c>
      <c r="L16" s="16">
        <v>527597.1900000002</v>
      </c>
    </row>
    <row r="17" spans="1:12" ht="12.75">
      <c r="A17" s="3">
        <v>42887</v>
      </c>
      <c r="B17" s="16">
        <v>77563247.92</v>
      </c>
      <c r="C17" s="16">
        <v>995196.69</v>
      </c>
      <c r="D17" s="16">
        <f t="shared" si="0"/>
        <v>71573171.04</v>
      </c>
      <c r="E17" s="16">
        <v>4994880.19</v>
      </c>
      <c r="F17" s="17">
        <f>33300/30</f>
        <v>1110</v>
      </c>
      <c r="G17" s="16">
        <f>E17/F17/30</f>
        <v>149.9964021021021</v>
      </c>
      <c r="I17" s="16">
        <v>1948003.2799999993</v>
      </c>
      <c r="J17" s="16">
        <v>2047900.8699999994</v>
      </c>
      <c r="K17" s="16">
        <v>499488.03</v>
      </c>
      <c r="L17" s="16">
        <v>499488.03</v>
      </c>
    </row>
    <row r="18" spans="1:12" ht="12.75">
      <c r="A18" s="3">
        <v>42917</v>
      </c>
      <c r="B18" s="16">
        <v>93345679.16</v>
      </c>
      <c r="C18" s="16">
        <v>1163752.8499999999</v>
      </c>
      <c r="D18" s="16">
        <f t="shared" si="0"/>
        <v>86155844.10000001</v>
      </c>
      <c r="E18" s="16">
        <v>6026082.21</v>
      </c>
      <c r="F18" s="17">
        <v>1110</v>
      </c>
      <c r="G18" s="16">
        <f>E18/F18/30</f>
        <v>180.96342972972974</v>
      </c>
      <c r="I18" s="16">
        <v>2350172.0900000003</v>
      </c>
      <c r="J18" s="16">
        <v>2470693.73</v>
      </c>
      <c r="K18" s="16">
        <v>602608.2200000001</v>
      </c>
      <c r="L18" s="16">
        <v>602608.2200000001</v>
      </c>
    </row>
    <row r="19" spans="1:12" ht="12.75">
      <c r="A19" s="3">
        <v>42948</v>
      </c>
      <c r="B19" s="16">
        <v>83031606.35</v>
      </c>
      <c r="C19" s="16">
        <v>1080110.19</v>
      </c>
      <c r="D19" s="16">
        <f t="shared" si="0"/>
        <v>76343639.72</v>
      </c>
      <c r="E19" s="16">
        <v>5607856.4399999995</v>
      </c>
      <c r="F19" s="17">
        <f>34410/31</f>
        <v>1110</v>
      </c>
      <c r="G19" s="16">
        <f>E19/F19/30</f>
        <v>168.40409729729726</v>
      </c>
      <c r="I19" s="16">
        <v>2187064.0499999993</v>
      </c>
      <c r="J19" s="16">
        <v>2299221.1500000004</v>
      </c>
      <c r="K19" s="16">
        <v>560785.65</v>
      </c>
      <c r="L19" s="16">
        <v>560785.65</v>
      </c>
    </row>
    <row r="20" spans="1:12" ht="12.75">
      <c r="A20" s="3">
        <v>42979</v>
      </c>
      <c r="B20" s="16">
        <v>84519830.51</v>
      </c>
      <c r="C20" s="16">
        <v>1303857.28</v>
      </c>
      <c r="D20" s="16">
        <f t="shared" si="0"/>
        <v>78044227.85000001</v>
      </c>
      <c r="E20" s="16">
        <v>5171745.379999998</v>
      </c>
      <c r="F20" s="17">
        <f>33300/30</f>
        <v>1110</v>
      </c>
      <c r="G20" s="16">
        <f>E20/F20/30</f>
        <v>155.30766906906902</v>
      </c>
      <c r="I20" s="16">
        <v>2016980.6800000006</v>
      </c>
      <c r="J20" s="16">
        <v>2120415.63</v>
      </c>
      <c r="K20" s="16">
        <v>517174.55000000016</v>
      </c>
      <c r="L20" s="16">
        <v>517174.55000000016</v>
      </c>
    </row>
    <row r="21" spans="1:12" ht="12.75">
      <c r="A21" s="3">
        <v>43009</v>
      </c>
      <c r="B21" s="16">
        <v>79070977.07000001</v>
      </c>
      <c r="C21" s="16">
        <v>908798.49</v>
      </c>
      <c r="D21" s="16">
        <f t="shared" si="0"/>
        <v>73029888.05000001</v>
      </c>
      <c r="E21" s="16">
        <v>5132290.53</v>
      </c>
      <c r="F21" s="17">
        <f>34410/31</f>
        <v>1110</v>
      </c>
      <c r="G21" s="16">
        <f>+E21/F21/31</f>
        <v>149.15113426329557</v>
      </c>
      <c r="I21" s="16">
        <v>2001593.3199999994</v>
      </c>
      <c r="J21" s="16">
        <v>2104239.13</v>
      </c>
      <c r="K21" s="16">
        <v>513229.06999999995</v>
      </c>
      <c r="L21" s="16">
        <v>513229.06999999995</v>
      </c>
    </row>
    <row r="22" spans="1:12" ht="12.75">
      <c r="A22" s="3">
        <v>43040</v>
      </c>
      <c r="B22" s="16">
        <v>65679781.32</v>
      </c>
      <c r="C22" s="16">
        <v>659970.2799999999</v>
      </c>
      <c r="D22" s="16">
        <f t="shared" si="0"/>
        <v>60760585.47</v>
      </c>
      <c r="E22" s="16">
        <v>4259225.569999999</v>
      </c>
      <c r="F22" s="17">
        <f>33300/30</f>
        <v>1110</v>
      </c>
      <c r="G22" s="16">
        <f>E22/F22/30</f>
        <v>127.90467177177175</v>
      </c>
      <c r="I22" s="16">
        <v>1661097.97</v>
      </c>
      <c r="J22" s="16">
        <v>1746282.4800000002</v>
      </c>
      <c r="K22" s="16">
        <v>425922.57000000007</v>
      </c>
      <c r="L22" s="16">
        <v>425922.5800000001</v>
      </c>
    </row>
    <row r="23" spans="1:13" ht="12.75">
      <c r="A23" s="3">
        <v>43070</v>
      </c>
      <c r="B23" s="16">
        <v>60669706.34000001</v>
      </c>
      <c r="C23" s="16">
        <v>700455.4999999999</v>
      </c>
      <c r="D23" s="16">
        <f t="shared" si="0"/>
        <v>56048609.17000001</v>
      </c>
      <c r="E23" s="16">
        <v>3920641.67</v>
      </c>
      <c r="F23" s="17">
        <f>34410/31</f>
        <v>1110</v>
      </c>
      <c r="G23" s="16">
        <f>+E23/F23/31</f>
        <v>113.93901976169718</v>
      </c>
      <c r="I23" s="16">
        <v>1529050.2600000002</v>
      </c>
      <c r="J23" s="16">
        <v>1607463.0800000003</v>
      </c>
      <c r="K23" s="16">
        <v>392064.1499999999</v>
      </c>
      <c r="L23" s="16">
        <v>392064.1599999999</v>
      </c>
      <c r="M23" s="16"/>
    </row>
    <row r="24" spans="1:12" ht="12.75">
      <c r="A24" s="3">
        <v>43101</v>
      </c>
      <c r="B24" s="16">
        <v>54879646.45000002</v>
      </c>
      <c r="C24" s="16">
        <v>276718.03</v>
      </c>
      <c r="D24" s="16">
        <f t="shared" si="0"/>
        <v>50757759.45000002</v>
      </c>
      <c r="E24" s="16">
        <v>3845168.9699999997</v>
      </c>
      <c r="F24" s="17">
        <f>34410/31</f>
        <v>1110</v>
      </c>
      <c r="G24" s="16">
        <f>+E24/F24/31</f>
        <v>111.7456835222319</v>
      </c>
      <c r="I24" s="16">
        <v>1499615.9100000001</v>
      </c>
      <c r="J24" s="16">
        <v>1576519.3000000003</v>
      </c>
      <c r="K24" s="16">
        <v>384516.9399999999</v>
      </c>
      <c r="L24" s="16">
        <v>384516.9399999999</v>
      </c>
    </row>
    <row r="25" spans="1:12" ht="12.75">
      <c r="A25" s="3">
        <v>43132</v>
      </c>
      <c r="B25" s="16">
        <v>37535806.2</v>
      </c>
      <c r="C25" s="16">
        <v>170679.44999999998</v>
      </c>
      <c r="D25" s="16">
        <f t="shared" si="0"/>
        <v>34654907.49</v>
      </c>
      <c r="E25" s="16">
        <v>2710219.2600000002</v>
      </c>
      <c r="F25" s="17">
        <f>31080/28</f>
        <v>1110</v>
      </c>
      <c r="G25" s="16">
        <f>+E25/F25/28</f>
        <v>87.2013918918919</v>
      </c>
      <c r="I25" s="16">
        <v>1056985.53</v>
      </c>
      <c r="J25" s="16">
        <v>1111189.91</v>
      </c>
      <c r="K25" s="16">
        <v>271021.94</v>
      </c>
      <c r="L25" s="16">
        <v>271021.94</v>
      </c>
    </row>
    <row r="26" spans="1:12" ht="12.75">
      <c r="A26" s="3">
        <v>43160</v>
      </c>
      <c r="B26" s="16">
        <v>41849767.02</v>
      </c>
      <c r="C26" s="16">
        <v>227832.3</v>
      </c>
      <c r="D26" s="16">
        <f t="shared" si="0"/>
        <v>38745527.980000004</v>
      </c>
      <c r="E26" s="16">
        <v>2876406.7399999998</v>
      </c>
      <c r="F26" s="17">
        <f>34410/31</f>
        <v>1110</v>
      </c>
      <c r="G26" s="16">
        <f>+E26/F26/31</f>
        <v>83.59217494914269</v>
      </c>
      <c r="I26" s="16">
        <v>1121798.64</v>
      </c>
      <c r="J26" s="16">
        <v>1179326.76</v>
      </c>
      <c r="K26" s="16">
        <v>287640.67999999993</v>
      </c>
      <c r="L26" s="16">
        <v>287640.69999999995</v>
      </c>
    </row>
    <row r="27" spans="1:12" ht="13.5" thickBot="1">
      <c r="A27" s="60" t="s">
        <v>20</v>
      </c>
      <c r="B27" s="61">
        <f>SUM(B15:B26)</f>
        <v>837671744.1100003</v>
      </c>
      <c r="C27" s="61">
        <f>SUM(C15:C26)</f>
        <v>9549451.33</v>
      </c>
      <c r="D27" s="61">
        <f>SUM(D15:D26)</f>
        <v>773077857.61</v>
      </c>
      <c r="E27" s="61">
        <f>SUM(E15:E26)</f>
        <v>55044435.17</v>
      </c>
      <c r="F27" s="62">
        <f>AVERAGE(F15:F26)</f>
        <v>1110</v>
      </c>
      <c r="G27" s="61">
        <f>AVERAGE(G15:G26)</f>
        <v>136.53397028722273</v>
      </c>
      <c r="H27" s="32"/>
      <c r="I27" s="61">
        <f>SUM(I15:I26)</f>
        <v>21467329.87</v>
      </c>
      <c r="J27" s="61">
        <f>SUM(J15:J26)</f>
        <v>22568218.510000005</v>
      </c>
      <c r="K27" s="61">
        <f>SUM(K15:K26)</f>
        <v>5504443.63</v>
      </c>
      <c r="L27" s="61">
        <f>SUM(L15:L26)</f>
        <v>5504443.670000001</v>
      </c>
    </row>
    <row r="28" spans="2:12" ht="10.5" customHeight="1" thickTop="1">
      <c r="B28" s="19"/>
      <c r="C28" s="19"/>
      <c r="D28" s="19"/>
      <c r="E28" s="19"/>
      <c r="I28" s="19"/>
      <c r="J28" s="19"/>
      <c r="K28" s="19"/>
      <c r="L28" s="19"/>
    </row>
    <row r="29" spans="1:12" s="22" customFormat="1" ht="12.75">
      <c r="A29" s="20"/>
      <c r="B29" s="21"/>
      <c r="C29" s="21">
        <f>C27/B27</f>
        <v>0.011399992177300896</v>
      </c>
      <c r="D29" s="21">
        <f>D27/B27</f>
        <v>0.9228887843547484</v>
      </c>
      <c r="E29" s="21">
        <f>E27/B27</f>
        <v>0.06571122346795041</v>
      </c>
      <c r="I29" s="21">
        <f>I27/$E$27</f>
        <v>0.3900000027922895</v>
      </c>
      <c r="J29" s="21">
        <f>J27/$E$27</f>
        <v>0.4100000016404929</v>
      </c>
      <c r="K29" s="21">
        <f>K27/$E$27</f>
        <v>0.1000000020528869</v>
      </c>
      <c r="L29" s="21">
        <f>L27/$E$27</f>
        <v>0.10000000277957255</v>
      </c>
    </row>
    <row r="31" spans="1:12" s="23" customFormat="1" ht="12.75">
      <c r="A31" s="123" t="s">
        <v>21</v>
      </c>
      <c r="B31" s="124"/>
      <c r="C31" s="124"/>
      <c r="D31" s="124"/>
      <c r="E31" s="124"/>
      <c r="F31" s="124"/>
      <c r="G31" s="124"/>
      <c r="H31" s="124"/>
      <c r="I31" s="124"/>
      <c r="J31" s="124"/>
      <c r="K31" s="124"/>
      <c r="L31" s="125"/>
    </row>
    <row r="32" ht="12.75">
      <c r="A32" s="24"/>
    </row>
    <row r="33" spans="1:12" s="45" customFormat="1" ht="12.75" customHeight="1">
      <c r="A33" s="41" t="s">
        <v>22</v>
      </c>
      <c r="B33" s="42"/>
      <c r="C33" s="43" t="s">
        <v>86</v>
      </c>
      <c r="D33" s="44"/>
      <c r="E33" s="44"/>
      <c r="F33" s="44"/>
      <c r="G33" s="44"/>
      <c r="H33" s="44"/>
      <c r="I33" s="44"/>
      <c r="J33" s="44"/>
      <c r="K33" s="44"/>
      <c r="L33" s="44"/>
    </row>
    <row r="34" spans="1:12" s="45" customFormat="1" ht="12.75" customHeight="1">
      <c r="A34" s="41"/>
      <c r="B34" s="42"/>
      <c r="C34" s="43" t="s">
        <v>87</v>
      </c>
      <c r="D34" s="44"/>
      <c r="E34" s="44"/>
      <c r="F34" s="44"/>
      <c r="G34" s="44"/>
      <c r="H34" s="44"/>
      <c r="I34" s="44"/>
      <c r="J34" s="44"/>
      <c r="K34" s="44"/>
      <c r="L34" s="44"/>
    </row>
    <row r="35" spans="1:13" ht="6" customHeight="1">
      <c r="A35" s="25"/>
      <c r="B35" s="26"/>
      <c r="C35" s="26"/>
      <c r="D35" s="26"/>
      <c r="F35" s="26"/>
      <c r="G35" s="26"/>
      <c r="H35" s="26"/>
      <c r="I35" s="26"/>
      <c r="J35" s="26"/>
      <c r="K35" s="26"/>
      <c r="L35" s="26"/>
      <c r="M35" s="26"/>
    </row>
    <row r="36" spans="1:13" ht="12.75">
      <c r="A36" s="25" t="s">
        <v>89</v>
      </c>
      <c r="B36" s="26"/>
      <c r="C36" s="26" t="s">
        <v>58</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2" s="45" customFormat="1" ht="12.75">
      <c r="A38" s="41" t="s">
        <v>23</v>
      </c>
      <c r="B38" s="42"/>
      <c r="C38" s="43" t="s">
        <v>94</v>
      </c>
      <c r="D38" s="46"/>
      <c r="E38" s="43"/>
      <c r="F38" s="43"/>
      <c r="G38" s="43"/>
      <c r="H38" s="43"/>
      <c r="I38" s="42"/>
      <c r="J38" s="42"/>
      <c r="K38" s="42"/>
      <c r="L38" s="42"/>
    </row>
    <row r="39" spans="1:12" s="45" customFormat="1" ht="6" customHeight="1">
      <c r="A39" s="41"/>
      <c r="B39" s="42"/>
      <c r="C39" s="43"/>
      <c r="D39" s="46"/>
      <c r="E39" s="43"/>
      <c r="F39" s="43"/>
      <c r="G39" s="43"/>
      <c r="H39" s="43"/>
      <c r="I39" s="42"/>
      <c r="J39" s="42"/>
      <c r="K39" s="42"/>
      <c r="L39" s="42"/>
    </row>
    <row r="40" spans="1:12" s="45" customFormat="1" ht="12.75">
      <c r="A40" s="41" t="s">
        <v>25</v>
      </c>
      <c r="B40" s="42"/>
      <c r="C40" s="42" t="s">
        <v>59</v>
      </c>
      <c r="D40" s="46"/>
      <c r="E40" s="47"/>
      <c r="F40" s="42"/>
      <c r="G40" s="42"/>
      <c r="H40" s="42"/>
      <c r="I40" s="42"/>
      <c r="J40" s="42"/>
      <c r="K40" s="42"/>
      <c r="L40" s="42"/>
    </row>
    <row r="41" spans="1:12" s="45" customFormat="1" ht="12.75">
      <c r="A41" s="41"/>
      <c r="B41" s="42"/>
      <c r="C41" s="42" t="s">
        <v>60</v>
      </c>
      <c r="D41" s="46"/>
      <c r="E41" s="47"/>
      <c r="F41" s="42"/>
      <c r="G41" s="42"/>
      <c r="H41" s="42"/>
      <c r="I41" s="42"/>
      <c r="J41" s="42"/>
      <c r="K41" s="42"/>
      <c r="L41" s="42"/>
    </row>
    <row r="42" spans="1:12" s="45" customFormat="1" ht="6" customHeight="1">
      <c r="A42" s="41"/>
      <c r="B42" s="42"/>
      <c r="C42" s="42"/>
      <c r="D42" s="46"/>
      <c r="E42" s="47"/>
      <c r="F42" s="42"/>
      <c r="G42" s="42"/>
      <c r="H42" s="42"/>
      <c r="I42" s="42"/>
      <c r="J42" s="42"/>
      <c r="K42" s="42"/>
      <c r="L42" s="42"/>
    </row>
    <row r="43" spans="1:12" s="45" customFormat="1" ht="12.75">
      <c r="A43" s="41" t="s">
        <v>28</v>
      </c>
      <c r="B43" s="42"/>
      <c r="C43" s="42" t="s">
        <v>29</v>
      </c>
      <c r="D43" s="46"/>
      <c r="E43" s="47"/>
      <c r="F43" s="42"/>
      <c r="G43" s="42"/>
      <c r="H43" s="42"/>
      <c r="I43" s="42"/>
      <c r="J43" s="42"/>
      <c r="K43" s="42"/>
      <c r="L43" s="42"/>
    </row>
    <row r="44" spans="1:12" s="45" customFormat="1" ht="6" customHeight="1">
      <c r="A44" s="41"/>
      <c r="B44" s="42"/>
      <c r="C44" s="42"/>
      <c r="D44" s="46"/>
      <c r="E44" s="47"/>
      <c r="F44" s="42"/>
      <c r="G44" s="42"/>
      <c r="H44" s="42"/>
      <c r="I44" s="42"/>
      <c r="J44" s="42"/>
      <c r="K44" s="42"/>
      <c r="L44" s="42"/>
    </row>
    <row r="45" spans="1:12" s="45" customFormat="1" ht="12.75">
      <c r="A45" s="41" t="s">
        <v>67</v>
      </c>
      <c r="B45" s="42"/>
      <c r="C45" s="42" t="s">
        <v>68</v>
      </c>
      <c r="D45" s="46"/>
      <c r="E45" s="47"/>
      <c r="F45" s="42"/>
      <c r="G45" s="42"/>
      <c r="H45" s="42"/>
      <c r="I45" s="42"/>
      <c r="J45" s="42"/>
      <c r="K45" s="42"/>
      <c r="L45" s="42"/>
    </row>
    <row r="46" spans="1:12" s="45" customFormat="1" ht="12.75">
      <c r="A46" s="41"/>
      <c r="B46" s="42"/>
      <c r="C46" s="42" t="s">
        <v>77</v>
      </c>
      <c r="D46" s="46"/>
      <c r="E46" s="47"/>
      <c r="F46" s="42"/>
      <c r="G46" s="42"/>
      <c r="H46" s="42"/>
      <c r="I46" s="42"/>
      <c r="J46" s="42"/>
      <c r="K46" s="42"/>
      <c r="L46" s="42"/>
    </row>
    <row r="47" spans="1:12" s="45" customFormat="1" ht="12.75">
      <c r="A47" s="41"/>
      <c r="B47" s="42"/>
      <c r="C47" s="42" t="s">
        <v>78</v>
      </c>
      <c r="D47" s="46"/>
      <c r="E47" s="47"/>
      <c r="F47" s="42"/>
      <c r="G47" s="42"/>
      <c r="H47" s="42"/>
      <c r="I47" s="42"/>
      <c r="J47" s="42"/>
      <c r="K47" s="42"/>
      <c r="L47" s="42"/>
    </row>
    <row r="48" spans="1:12" s="45" customFormat="1" ht="6" customHeight="1">
      <c r="A48" s="41"/>
      <c r="B48" s="42"/>
      <c r="C48" s="42"/>
      <c r="D48" s="46"/>
      <c r="E48" s="47"/>
      <c r="F48" s="42"/>
      <c r="G48" s="42"/>
      <c r="H48" s="42"/>
      <c r="I48" s="42"/>
      <c r="J48" s="42"/>
      <c r="K48" s="42"/>
      <c r="L48" s="42"/>
    </row>
    <row r="49" spans="1:12" s="45" customFormat="1" ht="12.75">
      <c r="A49" s="41" t="s">
        <v>30</v>
      </c>
      <c r="B49" s="42"/>
      <c r="C49" s="42" t="s">
        <v>69</v>
      </c>
      <c r="D49" s="46"/>
      <c r="E49" s="47"/>
      <c r="F49" s="42"/>
      <c r="G49" s="42"/>
      <c r="H49" s="42"/>
      <c r="I49" s="42"/>
      <c r="J49" s="42"/>
      <c r="K49" s="42"/>
      <c r="L49" s="42"/>
    </row>
    <row r="50" spans="1:12" s="45" customFormat="1" ht="12.75">
      <c r="A50" s="41"/>
      <c r="B50" s="42"/>
      <c r="C50" s="42" t="s">
        <v>70</v>
      </c>
      <c r="D50" s="46"/>
      <c r="E50" s="47"/>
      <c r="F50" s="42"/>
      <c r="G50" s="42"/>
      <c r="H50" s="42"/>
      <c r="I50" s="42"/>
      <c r="J50" s="42"/>
      <c r="K50" s="42"/>
      <c r="L50" s="42"/>
    </row>
    <row r="51" spans="1:12" s="45" customFormat="1" ht="6" customHeight="1">
      <c r="A51" s="41"/>
      <c r="B51" s="42"/>
      <c r="C51" s="42"/>
      <c r="D51" s="46"/>
      <c r="E51" s="47"/>
      <c r="F51" s="42"/>
      <c r="G51" s="42"/>
      <c r="H51" s="42"/>
      <c r="I51" s="42"/>
      <c r="J51" s="42"/>
      <c r="K51" s="42"/>
      <c r="L51" s="42"/>
    </row>
    <row r="52" spans="1:12" s="45" customFormat="1" ht="12.75">
      <c r="A52" s="41" t="s">
        <v>79</v>
      </c>
      <c r="B52" s="42"/>
      <c r="C52" s="42" t="s">
        <v>72</v>
      </c>
      <c r="D52" s="46"/>
      <c r="E52" s="47"/>
      <c r="F52" s="42"/>
      <c r="G52" s="42"/>
      <c r="H52" s="42"/>
      <c r="I52" s="42"/>
      <c r="J52" s="42"/>
      <c r="K52" s="42"/>
      <c r="L52" s="42"/>
    </row>
    <row r="53" spans="1:12" s="45" customFormat="1" ht="12.75">
      <c r="A53" s="48"/>
      <c r="B53" s="42"/>
      <c r="C53" s="42" t="s">
        <v>73</v>
      </c>
      <c r="D53" s="46"/>
      <c r="E53" s="47"/>
      <c r="F53" s="42"/>
      <c r="G53" s="42"/>
      <c r="H53" s="42"/>
      <c r="I53" s="42"/>
      <c r="J53" s="42"/>
      <c r="K53" s="42"/>
      <c r="L53" s="42"/>
    </row>
    <row r="54" spans="1:12" s="45" customFormat="1" ht="6" customHeight="1">
      <c r="A54" s="49"/>
      <c r="B54" s="50"/>
      <c r="C54" s="50"/>
      <c r="D54" s="50"/>
      <c r="E54" s="51"/>
      <c r="F54" s="50"/>
      <c r="G54" s="50"/>
      <c r="H54" s="50"/>
      <c r="I54" s="50"/>
      <c r="J54" s="50"/>
      <c r="K54" s="50"/>
      <c r="L54" s="50"/>
    </row>
    <row r="55" spans="1:12" s="45" customFormat="1" ht="12.75">
      <c r="A55" s="41" t="s">
        <v>104</v>
      </c>
      <c r="B55" s="16"/>
      <c r="C55" s="107" t="s">
        <v>105</v>
      </c>
      <c r="D55" s="16"/>
      <c r="E55" s="16"/>
      <c r="F55" s="17"/>
      <c r="G55" s="16"/>
      <c r="H55" s="16"/>
      <c r="I55" s="16"/>
      <c r="J55" s="16"/>
      <c r="K55" s="16"/>
      <c r="L55" s="16"/>
    </row>
    <row r="56" spans="1:12" s="45" customFormat="1" ht="12.75">
      <c r="A56" s="3"/>
      <c r="B56" s="16"/>
      <c r="C56" s="108" t="s">
        <v>106</v>
      </c>
      <c r="D56" s="16"/>
      <c r="E56" s="16"/>
      <c r="F56" s="17"/>
      <c r="G56" s="16"/>
      <c r="H56" s="16"/>
      <c r="I56" s="16"/>
      <c r="J56" s="16"/>
      <c r="K56" s="16"/>
      <c r="L56" s="16"/>
    </row>
    <row r="57" spans="1:12" s="45" customFormat="1" ht="12.75">
      <c r="A57" s="3"/>
      <c r="B57" s="16"/>
      <c r="C57" s="16"/>
      <c r="D57" s="16"/>
      <c r="E57" s="16"/>
      <c r="F57" s="17"/>
      <c r="G57" s="16"/>
      <c r="H57" s="16"/>
      <c r="I57" s="16"/>
      <c r="J57" s="16"/>
      <c r="K57" s="16"/>
      <c r="L57" s="16"/>
    </row>
    <row r="58" spans="1:12" s="23" customFormat="1" ht="12.75">
      <c r="A58" s="123" t="s">
        <v>31</v>
      </c>
      <c r="B58" s="124"/>
      <c r="C58" s="124"/>
      <c r="D58" s="124"/>
      <c r="E58" s="124"/>
      <c r="F58" s="124"/>
      <c r="G58" s="124"/>
      <c r="H58" s="124"/>
      <c r="I58" s="124"/>
      <c r="J58" s="124"/>
      <c r="K58" s="124"/>
      <c r="L58" s="125"/>
    </row>
    <row r="59" ht="12.75">
      <c r="A59" s="24"/>
    </row>
    <row r="60" spans="1:12" ht="13.5">
      <c r="A60" s="31"/>
      <c r="E60" s="10" t="s">
        <v>9</v>
      </c>
      <c r="F60" s="122" t="s">
        <v>80</v>
      </c>
      <c r="G60" s="122"/>
      <c r="H60" s="122"/>
      <c r="I60" s="122"/>
      <c r="J60" s="10" t="s">
        <v>10</v>
      </c>
      <c r="K60" s="53" t="s">
        <v>75</v>
      </c>
      <c r="L60" s="10"/>
    </row>
    <row r="61" spans="1:12" ht="12.75">
      <c r="A61" s="34"/>
      <c r="E61" s="8" t="s">
        <v>17</v>
      </c>
      <c r="F61" s="8" t="s">
        <v>81</v>
      </c>
      <c r="G61" s="55" t="s">
        <v>82</v>
      </c>
      <c r="H61" s="35"/>
      <c r="I61" s="8" t="s">
        <v>83</v>
      </c>
      <c r="J61" s="8" t="s">
        <v>19</v>
      </c>
      <c r="K61" s="54" t="s">
        <v>76</v>
      </c>
      <c r="L61" s="15"/>
    </row>
    <row r="62" spans="2:12" ht="12.75">
      <c r="B62" s="38" t="s">
        <v>52</v>
      </c>
      <c r="C62" s="38"/>
      <c r="D62" s="38"/>
      <c r="E62" s="56">
        <v>0.39</v>
      </c>
      <c r="F62" s="56">
        <v>0.31</v>
      </c>
      <c r="G62" s="57">
        <v>0.0875</v>
      </c>
      <c r="H62" s="58"/>
      <c r="I62" s="56">
        <v>0.0125</v>
      </c>
      <c r="J62" s="56">
        <v>0.1</v>
      </c>
      <c r="K62" s="56">
        <v>0.1</v>
      </c>
      <c r="L62" s="39"/>
    </row>
    <row r="63" spans="2:12" ht="12.75">
      <c r="B63" s="38" t="s">
        <v>53</v>
      </c>
      <c r="C63" s="38"/>
      <c r="D63" s="38"/>
      <c r="E63" s="56">
        <v>0.41</v>
      </c>
      <c r="F63" s="56">
        <v>0.31</v>
      </c>
      <c r="G63" s="57">
        <v>0.0875</v>
      </c>
      <c r="H63" s="58"/>
      <c r="I63" s="56">
        <v>0.0125</v>
      </c>
      <c r="J63" s="56">
        <v>0.08</v>
      </c>
      <c r="K63" s="56">
        <v>0.1</v>
      </c>
      <c r="L63" s="39"/>
    </row>
    <row r="64" spans="2:12" ht="12.75">
      <c r="B64" s="38"/>
      <c r="C64" s="38"/>
      <c r="D64" s="38"/>
      <c r="E64" s="26"/>
      <c r="F64" s="27"/>
      <c r="G64" s="39"/>
      <c r="H64" s="26"/>
      <c r="I64" s="39"/>
      <c r="J64" s="39"/>
      <c r="K64" s="39"/>
      <c r="L64" s="39"/>
    </row>
    <row r="65" spans="1:12" s="23" customFormat="1" ht="12.75">
      <c r="A65" s="126" t="s">
        <v>44</v>
      </c>
      <c r="B65" s="127"/>
      <c r="C65" s="127"/>
      <c r="D65" s="127"/>
      <c r="E65" s="127"/>
      <c r="F65" s="127"/>
      <c r="G65" s="127"/>
      <c r="H65" s="127"/>
      <c r="I65" s="127"/>
      <c r="J65" s="127"/>
      <c r="K65" s="127"/>
      <c r="L65" s="128"/>
    </row>
    <row r="66" spans="1:6" ht="12.75">
      <c r="A66" s="24"/>
      <c r="E66"/>
      <c r="F66" s="16"/>
    </row>
    <row r="67" spans="1:12" ht="52.5" customHeight="1">
      <c r="A67" s="121" t="s">
        <v>102</v>
      </c>
      <c r="B67" s="129"/>
      <c r="C67" s="129"/>
      <c r="D67" s="129"/>
      <c r="E67" s="129"/>
      <c r="F67" s="129"/>
      <c r="G67" s="129"/>
      <c r="H67" s="129"/>
      <c r="I67" s="129"/>
      <c r="J67" s="129"/>
      <c r="K67" s="129"/>
      <c r="L67" s="129"/>
    </row>
    <row r="68" spans="1:6" ht="12.75">
      <c r="A68" s="16"/>
      <c r="E68"/>
      <c r="F68" s="16"/>
    </row>
    <row r="69" spans="2:5" ht="12.75">
      <c r="B69" s="24" t="s">
        <v>45</v>
      </c>
      <c r="C69" s="24"/>
      <c r="D69" s="24"/>
      <c r="E69" s="16">
        <v>291205</v>
      </c>
    </row>
    <row r="70" spans="2:5" ht="12.75">
      <c r="B70" s="24" t="s">
        <v>46</v>
      </c>
      <c r="C70" s="24"/>
      <c r="D70" s="24"/>
      <c r="E70" s="16">
        <v>634506</v>
      </c>
    </row>
    <row r="71" spans="2:5" ht="12.75">
      <c r="B71" s="16" t="s">
        <v>47</v>
      </c>
      <c r="E71" s="16">
        <v>308570</v>
      </c>
    </row>
    <row r="72" ht="12.75">
      <c r="E72" s="16" t="s">
        <v>32</v>
      </c>
    </row>
    <row r="74" ht="12.75">
      <c r="A74" s="59" t="s">
        <v>90</v>
      </c>
    </row>
  </sheetData>
  <sheetProtection/>
  <mergeCells count="12">
    <mergeCell ref="A1:L1"/>
    <mergeCell ref="A2:L2"/>
    <mergeCell ref="A3:L3"/>
    <mergeCell ref="A4:L4"/>
    <mergeCell ref="A5:L5"/>
    <mergeCell ref="A8:L8"/>
    <mergeCell ref="I10:L10"/>
    <mergeCell ref="A31:L31"/>
    <mergeCell ref="A58:L58"/>
    <mergeCell ref="F60:I60"/>
    <mergeCell ref="A65:L65"/>
    <mergeCell ref="A67:L67"/>
  </mergeCells>
  <hyperlinks>
    <hyperlink ref="A4" r:id="rId1" display="www.monticellocasinoandraceway.com"/>
  </hyperlinks>
  <printOptions horizontalCentered="1"/>
  <pageMargins left="0.25" right="0.25" top="0.75" bottom="0.5" header="0.5" footer="0.5"/>
  <pageSetup fitToHeight="1" fitToWidth="1" horizontalDpi="600" verticalDpi="600" orientation="portrait" scale="74" r:id="rId3"/>
  <ignoredErrors>
    <ignoredError sqref="F16:G26" formula="1"/>
  </ignoredErrors>
  <drawing r:id="rId2"/>
</worksheet>
</file>

<file path=xl/worksheets/sheet4.xml><?xml version="1.0" encoding="utf-8"?>
<worksheet xmlns="http://schemas.openxmlformats.org/spreadsheetml/2006/main" xmlns:r="http://schemas.openxmlformats.org/officeDocument/2006/relationships">
  <sheetPr>
    <pageSetUpPr fitToPage="1"/>
  </sheetPr>
  <dimension ref="A1:M72"/>
  <sheetViews>
    <sheetView zoomScalePageLayoutView="0" workbookViewId="0" topLeftCell="A1">
      <selection activeCell="G27" sqref="G27"/>
    </sheetView>
  </sheetViews>
  <sheetFormatPr defaultColWidth="9.140625" defaultRowHeight="12.75"/>
  <cols>
    <col min="1" max="1" width="9.28125" style="3" customWidth="1"/>
    <col min="2" max="2" width="14.140625" style="16" customWidth="1"/>
    <col min="3" max="3" width="11.7109375" style="16" customWidth="1"/>
    <col min="4" max="4" width="14.140625" style="16" customWidth="1"/>
    <col min="5" max="5" width="12.7109375" style="16" customWidth="1"/>
    <col min="6" max="6" width="8.8515625" style="17" customWidth="1"/>
    <col min="7" max="7" width="10.28125" style="16" customWidth="1"/>
    <col min="8" max="8" width="1.421875" style="16" customWidth="1"/>
    <col min="9" max="10" width="11.7109375" style="16" bestFit="1" customWidth="1"/>
    <col min="11" max="12" width="12.8515625" style="16" bestFit="1" customWidth="1"/>
    <col min="13" max="13" width="12.7109375" style="0" customWidth="1"/>
  </cols>
  <sheetData>
    <row r="1" spans="1:12" ht="17.25">
      <c r="A1" s="130" t="s">
        <v>55</v>
      </c>
      <c r="B1" s="130"/>
      <c r="C1" s="130"/>
      <c r="D1" s="130"/>
      <c r="E1" s="130"/>
      <c r="F1" s="130"/>
      <c r="G1" s="130"/>
      <c r="H1" s="130"/>
      <c r="I1" s="130"/>
      <c r="J1" s="130"/>
      <c r="K1" s="130"/>
      <c r="L1" s="130"/>
    </row>
    <row r="2" spans="1:12" ht="15">
      <c r="A2" s="131" t="s">
        <v>0</v>
      </c>
      <c r="B2" s="131"/>
      <c r="C2" s="131"/>
      <c r="D2" s="131"/>
      <c r="E2" s="131"/>
      <c r="F2" s="131"/>
      <c r="G2" s="131"/>
      <c r="H2" s="131"/>
      <c r="I2" s="131"/>
      <c r="J2" s="131"/>
      <c r="K2" s="131"/>
      <c r="L2" s="131"/>
    </row>
    <row r="3" spans="1:12" s="1" customFormat="1" ht="15">
      <c r="A3" s="131" t="s">
        <v>1</v>
      </c>
      <c r="B3" s="131"/>
      <c r="C3" s="131"/>
      <c r="D3" s="131"/>
      <c r="E3" s="131"/>
      <c r="F3" s="131"/>
      <c r="G3" s="131"/>
      <c r="H3" s="131"/>
      <c r="I3" s="131"/>
      <c r="J3" s="131"/>
      <c r="K3" s="131"/>
      <c r="L3" s="131"/>
    </row>
    <row r="4" spans="1:12" s="1" customFormat="1" ht="15">
      <c r="A4" s="112" t="s">
        <v>91</v>
      </c>
      <c r="B4" s="112"/>
      <c r="C4" s="112"/>
      <c r="D4" s="112"/>
      <c r="E4" s="112"/>
      <c r="F4" s="112"/>
      <c r="G4" s="112"/>
      <c r="H4" s="112"/>
      <c r="I4" s="112"/>
      <c r="J4" s="112"/>
      <c r="K4" s="112"/>
      <c r="L4" s="112"/>
    </row>
    <row r="5" spans="1:12" s="1" customFormat="1" ht="13.5">
      <c r="A5" s="132" t="s">
        <v>3</v>
      </c>
      <c r="B5" s="132"/>
      <c r="C5" s="132"/>
      <c r="D5" s="132"/>
      <c r="E5" s="132"/>
      <c r="F5" s="132"/>
      <c r="G5" s="132"/>
      <c r="H5" s="132"/>
      <c r="I5" s="132"/>
      <c r="J5" s="132"/>
      <c r="K5" s="132"/>
      <c r="L5" s="132"/>
    </row>
    <row r="6" spans="1:12" s="1" customFormat="1" ht="13.5">
      <c r="A6" s="2"/>
      <c r="B6" s="2"/>
      <c r="C6" s="2"/>
      <c r="D6" s="2"/>
      <c r="E6" s="2"/>
      <c r="F6" s="2"/>
      <c r="G6" s="2"/>
      <c r="H6" s="2"/>
      <c r="I6" s="2"/>
      <c r="J6" s="2"/>
      <c r="K6" s="2"/>
      <c r="L6" s="2"/>
    </row>
    <row r="7" spans="1:12" s="1" customFormat="1" ht="12.75">
      <c r="A7" s="3"/>
      <c r="B7" s="4"/>
      <c r="C7" s="4"/>
      <c r="D7" s="4"/>
      <c r="E7" s="5"/>
      <c r="F7" s="6"/>
      <c r="G7" s="5"/>
      <c r="H7" s="5"/>
      <c r="I7" s="5"/>
      <c r="J7" s="5"/>
      <c r="K7" s="5"/>
      <c r="L7" s="5"/>
    </row>
    <row r="8" spans="1:12" s="7" customFormat="1" ht="14.25" customHeight="1">
      <c r="A8" s="123" t="s">
        <v>98</v>
      </c>
      <c r="B8" s="124"/>
      <c r="C8" s="124"/>
      <c r="D8" s="124"/>
      <c r="E8" s="124"/>
      <c r="F8" s="124"/>
      <c r="G8" s="124"/>
      <c r="H8" s="124"/>
      <c r="I8" s="124"/>
      <c r="J8" s="124"/>
      <c r="K8" s="124"/>
      <c r="L8" s="125"/>
    </row>
    <row r="9" spans="1:12" s="1" customFormat="1" ht="9" customHeight="1">
      <c r="A9" s="3"/>
      <c r="B9" s="4"/>
      <c r="C9" s="4"/>
      <c r="D9" s="4"/>
      <c r="E9" s="5"/>
      <c r="F9" s="6"/>
      <c r="G9" s="5"/>
      <c r="H9" s="5"/>
      <c r="I9" s="5"/>
      <c r="J9" s="5"/>
      <c r="K9" s="5"/>
      <c r="L9" s="5"/>
    </row>
    <row r="10" spans="1:12" s="1" customFormat="1" ht="12.75">
      <c r="A10" s="3"/>
      <c r="B10" s="5"/>
      <c r="C10" s="5"/>
      <c r="D10" s="5"/>
      <c r="E10" s="5"/>
      <c r="F10" s="6"/>
      <c r="G10" s="5"/>
      <c r="H10" s="5"/>
      <c r="I10" s="122" t="s">
        <v>5</v>
      </c>
      <c r="J10" s="122"/>
      <c r="K10" s="122"/>
      <c r="L10" s="122"/>
    </row>
    <row r="11" spans="1:12" s="1" customFormat="1" ht="12" customHeight="1">
      <c r="A11" s="3"/>
      <c r="B11" s="5"/>
      <c r="C11" s="10"/>
      <c r="D11" s="5"/>
      <c r="E11" s="5"/>
      <c r="F11" s="6"/>
      <c r="G11" s="5"/>
      <c r="H11" s="5"/>
      <c r="I11" s="5"/>
      <c r="J11" s="5"/>
      <c r="K11" s="5"/>
      <c r="L11" s="5"/>
    </row>
    <row r="12" spans="1:12" s="12" customFormat="1" ht="12">
      <c r="A12" s="9"/>
      <c r="B12" s="10" t="s">
        <v>6</v>
      </c>
      <c r="C12" s="10" t="s">
        <v>61</v>
      </c>
      <c r="D12" s="10" t="s">
        <v>6</v>
      </c>
      <c r="E12" s="10"/>
      <c r="F12" s="11" t="s">
        <v>7</v>
      </c>
      <c r="G12" s="10" t="s">
        <v>8</v>
      </c>
      <c r="H12" s="10"/>
      <c r="I12" s="10" t="s">
        <v>9</v>
      </c>
      <c r="J12" s="10" t="s">
        <v>74</v>
      </c>
      <c r="K12" s="10" t="s">
        <v>10</v>
      </c>
      <c r="L12" s="10" t="s">
        <v>75</v>
      </c>
    </row>
    <row r="13" spans="1:12" s="12" customFormat="1" ht="12">
      <c r="A13" s="13" t="s">
        <v>11</v>
      </c>
      <c r="B13" s="8" t="s">
        <v>12</v>
      </c>
      <c r="C13" s="8" t="s">
        <v>19</v>
      </c>
      <c r="D13" s="8" t="s">
        <v>13</v>
      </c>
      <c r="E13" s="8" t="s">
        <v>14</v>
      </c>
      <c r="F13" s="14" t="s">
        <v>15</v>
      </c>
      <c r="G13" s="8" t="s">
        <v>16</v>
      </c>
      <c r="H13" s="15"/>
      <c r="I13" s="8" t="s">
        <v>17</v>
      </c>
      <c r="J13" s="8" t="s">
        <v>18</v>
      </c>
      <c r="K13" s="8" t="s">
        <v>19</v>
      </c>
      <c r="L13" s="8" t="s">
        <v>76</v>
      </c>
    </row>
    <row r="15" spans="1:12" ht="12.75">
      <c r="A15" s="3">
        <v>42461</v>
      </c>
      <c r="B15" s="16">
        <v>80254723.53</v>
      </c>
      <c r="C15" s="16">
        <v>-1038842.23</v>
      </c>
      <c r="D15" s="16">
        <f aca="true" t="shared" si="0" ref="D15:D26">+B15-C15-E15</f>
        <v>74174866.81</v>
      </c>
      <c r="E15" s="16">
        <v>7118698.95</v>
      </c>
      <c r="F15" s="17">
        <v>1110</v>
      </c>
      <c r="G15" s="16">
        <f>E15/F15/30</f>
        <v>213.77474324324325</v>
      </c>
      <c r="I15" s="16">
        <v>2776292.6</v>
      </c>
      <c r="J15" s="16">
        <v>2918666.6</v>
      </c>
      <c r="K15" s="16">
        <v>711869.93</v>
      </c>
      <c r="L15" s="16">
        <v>711869.92</v>
      </c>
    </row>
    <row r="16" spans="1:12" ht="12.75">
      <c r="A16" s="3">
        <v>42491</v>
      </c>
      <c r="B16" s="16">
        <v>83218542.35</v>
      </c>
      <c r="C16" s="16">
        <v>1099689.29</v>
      </c>
      <c r="D16" s="16">
        <f t="shared" si="0"/>
        <v>76714938.91999999</v>
      </c>
      <c r="E16" s="16">
        <v>5403914.14</v>
      </c>
      <c r="F16" s="17">
        <v>1110</v>
      </c>
      <c r="G16" s="16">
        <v>157</v>
      </c>
      <c r="I16" s="16">
        <v>2107526.52</v>
      </c>
      <c r="J16" s="16">
        <v>2215604.78</v>
      </c>
      <c r="K16" s="16">
        <v>540391.42</v>
      </c>
      <c r="L16" s="16">
        <v>540391.41</v>
      </c>
    </row>
    <row r="17" spans="1:12" ht="12.75">
      <c r="A17" s="3">
        <v>42522</v>
      </c>
      <c r="B17" s="16">
        <v>75902687.52</v>
      </c>
      <c r="C17" s="16">
        <v>1005043.65</v>
      </c>
      <c r="D17" s="16">
        <f t="shared" si="0"/>
        <v>70195843.53999999</v>
      </c>
      <c r="E17" s="16">
        <v>4701800.33</v>
      </c>
      <c r="F17" s="17">
        <v>1110</v>
      </c>
      <c r="G17" s="16">
        <v>141</v>
      </c>
      <c r="I17" s="16">
        <v>1833702.12</v>
      </c>
      <c r="J17" s="16">
        <v>1927738.16</v>
      </c>
      <c r="K17" s="16">
        <v>470180.06</v>
      </c>
      <c r="L17" s="16">
        <v>470180.06</v>
      </c>
    </row>
    <row r="18" spans="1:12" ht="12.75">
      <c r="A18" s="3">
        <v>42552</v>
      </c>
      <c r="B18" s="16">
        <v>92479730.41</v>
      </c>
      <c r="C18" s="16">
        <v>1049334.45</v>
      </c>
      <c r="D18" s="16">
        <f t="shared" si="0"/>
        <v>85515807.41999999</v>
      </c>
      <c r="E18" s="16">
        <v>5914588.54</v>
      </c>
      <c r="F18" s="17">
        <v>1110</v>
      </c>
      <c r="G18" s="16">
        <v>172</v>
      </c>
      <c r="I18" s="16">
        <v>2306689.54</v>
      </c>
      <c r="J18" s="16">
        <v>2424981.33</v>
      </c>
      <c r="K18" s="16">
        <v>591458.85</v>
      </c>
      <c r="L18" s="16">
        <v>591458.85</v>
      </c>
    </row>
    <row r="19" spans="1:12" ht="12.75">
      <c r="A19" s="3">
        <v>42583</v>
      </c>
      <c r="B19" s="16">
        <v>84521185.69</v>
      </c>
      <c r="C19" s="16">
        <v>905922.39</v>
      </c>
      <c r="D19" s="16">
        <f t="shared" si="0"/>
        <v>78234859.09</v>
      </c>
      <c r="E19" s="16">
        <v>5380404.21</v>
      </c>
      <c r="F19" s="17">
        <v>1110</v>
      </c>
      <c r="G19" s="16">
        <v>156</v>
      </c>
      <c r="I19" s="16">
        <v>2098357.67</v>
      </c>
      <c r="J19" s="16">
        <v>2205965.73</v>
      </c>
      <c r="K19" s="16">
        <v>538040.43</v>
      </c>
      <c r="L19" s="16">
        <v>538040.43</v>
      </c>
    </row>
    <row r="20" spans="1:12" ht="12.75">
      <c r="A20" s="3">
        <v>42614</v>
      </c>
      <c r="B20" s="16">
        <v>78617516.41</v>
      </c>
      <c r="C20" s="16">
        <v>930349.55</v>
      </c>
      <c r="D20" s="16">
        <f t="shared" si="0"/>
        <v>72514167.36</v>
      </c>
      <c r="E20" s="16">
        <v>5172999.5</v>
      </c>
      <c r="F20" s="17">
        <v>1110</v>
      </c>
      <c r="G20" s="16">
        <v>155</v>
      </c>
      <c r="I20" s="16">
        <v>2017469.8</v>
      </c>
      <c r="J20" s="16">
        <v>2120929.8</v>
      </c>
      <c r="K20" s="16">
        <v>517299.96</v>
      </c>
      <c r="L20" s="16">
        <v>517299.96</v>
      </c>
    </row>
    <row r="21" spans="1:12" ht="12.75">
      <c r="A21" s="3">
        <v>42644</v>
      </c>
      <c r="B21" s="16">
        <v>76055733.4</v>
      </c>
      <c r="C21" s="16">
        <v>895757.65</v>
      </c>
      <c r="D21" s="16">
        <f t="shared" si="0"/>
        <v>70250209.12</v>
      </c>
      <c r="E21" s="16">
        <v>4909766.63</v>
      </c>
      <c r="F21" s="17">
        <v>1110</v>
      </c>
      <c r="G21" s="16">
        <v>143</v>
      </c>
      <c r="I21" s="16">
        <v>1914808.97</v>
      </c>
      <c r="J21" s="16">
        <v>2013004.29</v>
      </c>
      <c r="K21" s="16">
        <v>490976.67</v>
      </c>
      <c r="L21" s="16">
        <v>490976.67</v>
      </c>
    </row>
    <row r="22" spans="1:12" ht="12.75">
      <c r="A22" s="3">
        <v>42675</v>
      </c>
      <c r="B22" s="16">
        <v>66862219.47</v>
      </c>
      <c r="C22" s="16">
        <v>784299.72</v>
      </c>
      <c r="D22" s="16">
        <f t="shared" si="0"/>
        <v>61578233.54</v>
      </c>
      <c r="E22" s="16">
        <v>4499686.21</v>
      </c>
      <c r="F22" s="17">
        <v>1110</v>
      </c>
      <c r="G22" s="16">
        <v>135</v>
      </c>
      <c r="I22" s="16">
        <v>1754877.62</v>
      </c>
      <c r="J22" s="16">
        <v>1844871.35</v>
      </c>
      <c r="K22" s="16">
        <v>449968.61</v>
      </c>
      <c r="L22" s="16">
        <v>449968.61</v>
      </c>
    </row>
    <row r="23" spans="1:13" ht="12.75">
      <c r="A23" s="3">
        <v>42705</v>
      </c>
      <c r="B23" s="16">
        <v>58340994.96</v>
      </c>
      <c r="C23" s="16">
        <v>591336.18</v>
      </c>
      <c r="D23" s="16">
        <f t="shared" si="0"/>
        <v>53823114.82</v>
      </c>
      <c r="E23" s="16">
        <v>3926543.96</v>
      </c>
      <c r="F23" s="17">
        <v>1110</v>
      </c>
      <c r="G23" s="16">
        <v>114</v>
      </c>
      <c r="I23" s="16">
        <v>1531352.17</v>
      </c>
      <c r="J23" s="16">
        <v>1609883.03</v>
      </c>
      <c r="K23" s="16">
        <v>392654.4</v>
      </c>
      <c r="L23" s="16">
        <v>392654.471</v>
      </c>
      <c r="M23" s="16"/>
    </row>
    <row r="24" spans="1:12" ht="12.75">
      <c r="A24" s="3">
        <v>42736</v>
      </c>
      <c r="B24" s="16">
        <v>64889536.25</v>
      </c>
      <c r="C24" s="16">
        <v>834211</v>
      </c>
      <c r="D24" s="16">
        <f t="shared" si="0"/>
        <v>59930012.89</v>
      </c>
      <c r="E24" s="16">
        <v>4125312.36</v>
      </c>
      <c r="F24" s="17">
        <v>1110</v>
      </c>
      <c r="G24" s="16">
        <v>121</v>
      </c>
      <c r="I24" s="16">
        <v>1608871.81</v>
      </c>
      <c r="J24" s="16">
        <v>1691378.07</v>
      </c>
      <c r="K24" s="16">
        <v>412531.27</v>
      </c>
      <c r="L24" s="16">
        <v>412531.27</v>
      </c>
    </row>
    <row r="25" spans="1:12" ht="12.75">
      <c r="A25" s="3">
        <v>42767</v>
      </c>
      <c r="B25" s="16">
        <v>63244810.66</v>
      </c>
      <c r="C25" s="16">
        <v>659840.87</v>
      </c>
      <c r="D25" s="16">
        <f t="shared" si="0"/>
        <v>58247498.92</v>
      </c>
      <c r="E25" s="16">
        <v>4337470.87</v>
      </c>
      <c r="F25" s="17">
        <v>1110</v>
      </c>
      <c r="G25" s="16">
        <v>140</v>
      </c>
      <c r="I25" s="16">
        <v>1691613.64</v>
      </c>
      <c r="J25" s="16">
        <v>1778363.07</v>
      </c>
      <c r="K25" s="16">
        <v>433747.08</v>
      </c>
      <c r="L25" s="16">
        <v>433747.08</v>
      </c>
    </row>
    <row r="26" spans="1:12" ht="12.75">
      <c r="A26" s="3">
        <v>42795</v>
      </c>
      <c r="B26" s="16">
        <v>70415748.85</v>
      </c>
      <c r="C26" s="16">
        <v>886692.61</v>
      </c>
      <c r="D26" s="16">
        <f t="shared" si="0"/>
        <v>65096169.64999999</v>
      </c>
      <c r="E26" s="16">
        <v>4432886.59</v>
      </c>
      <c r="F26" s="17">
        <v>1110</v>
      </c>
      <c r="G26" s="16">
        <v>129</v>
      </c>
      <c r="I26" s="16">
        <v>1728825.77</v>
      </c>
      <c r="J26" s="16">
        <v>1817483.49</v>
      </c>
      <c r="K26" s="16">
        <v>443288.66</v>
      </c>
      <c r="L26" s="16">
        <v>443288.67</v>
      </c>
    </row>
    <row r="27" spans="1:12" ht="13.5" thickBot="1">
      <c r="A27" s="60" t="s">
        <v>20</v>
      </c>
      <c r="B27" s="61">
        <f>SUM(B15:B26)</f>
        <v>894803429.5</v>
      </c>
      <c r="C27" s="61">
        <f>SUM(C15:C26)</f>
        <v>8603635.13</v>
      </c>
      <c r="D27" s="61">
        <f>SUM(D15:D26)</f>
        <v>826275722.0799999</v>
      </c>
      <c r="E27" s="61">
        <f>SUM(E15:E26)</f>
        <v>59924072.29000001</v>
      </c>
      <c r="F27" s="62">
        <f>AVERAGE(F15:F26)</f>
        <v>1110</v>
      </c>
      <c r="G27" s="61">
        <f>AVERAGE(G15:G26)</f>
        <v>148.06456193693694</v>
      </c>
      <c r="H27" s="32"/>
      <c r="I27" s="61">
        <f>SUM(I15:I26)</f>
        <v>23370388.230000004</v>
      </c>
      <c r="J27" s="61">
        <f>SUM(J15:J26)</f>
        <v>24568869.700000003</v>
      </c>
      <c r="K27" s="61">
        <f>SUM(K15:K26)</f>
        <v>5992407.340000002</v>
      </c>
      <c r="L27" s="61">
        <f>SUM(L15:L26)</f>
        <v>5992407.401000001</v>
      </c>
    </row>
    <row r="28" spans="2:12" ht="10.5" customHeight="1" thickTop="1">
      <c r="B28" s="19"/>
      <c r="C28" s="19"/>
      <c r="D28" s="19"/>
      <c r="E28" s="19"/>
      <c r="I28" s="19"/>
      <c r="J28" s="19"/>
      <c r="K28" s="19"/>
      <c r="L28" s="19"/>
    </row>
    <row r="29" spans="1:12" s="22" customFormat="1" ht="12.75">
      <c r="A29" s="20"/>
      <c r="B29" s="21"/>
      <c r="C29" s="21">
        <f>C27/B27</f>
        <v>0.00961511193001077</v>
      </c>
      <c r="D29" s="21">
        <f>D27/B27</f>
        <v>0.9234159088345335</v>
      </c>
      <c r="E29" s="21">
        <f>E27/B27</f>
        <v>0.06696897923545565</v>
      </c>
      <c r="I29" s="21">
        <f>I27/$E$27</f>
        <v>0.3900000006157793</v>
      </c>
      <c r="J29" s="21">
        <f>J27/$E$27</f>
        <v>0.41000000101962364</v>
      </c>
      <c r="K29" s="21">
        <f>K27/$E$27</f>
        <v>0.10000000185234409</v>
      </c>
      <c r="L29" s="21">
        <f>L27/$E$27</f>
        <v>0.10000000287029892</v>
      </c>
    </row>
    <row r="31" spans="1:12" s="23" customFormat="1" ht="12.75">
      <c r="A31" s="123" t="s">
        <v>21</v>
      </c>
      <c r="B31" s="124"/>
      <c r="C31" s="124"/>
      <c r="D31" s="124"/>
      <c r="E31" s="124"/>
      <c r="F31" s="124"/>
      <c r="G31" s="124"/>
      <c r="H31" s="124"/>
      <c r="I31" s="124"/>
      <c r="J31" s="124"/>
      <c r="K31" s="124"/>
      <c r="L31" s="125"/>
    </row>
    <row r="32" ht="12.75">
      <c r="A32" s="24"/>
    </row>
    <row r="33" spans="1:12" s="45" customFormat="1" ht="12.75" customHeight="1">
      <c r="A33" s="41" t="s">
        <v>22</v>
      </c>
      <c r="B33" s="42"/>
      <c r="C33" s="43" t="s">
        <v>86</v>
      </c>
      <c r="D33" s="44"/>
      <c r="E33" s="44"/>
      <c r="F33" s="44"/>
      <c r="G33" s="44"/>
      <c r="H33" s="44"/>
      <c r="I33" s="44"/>
      <c r="J33" s="44"/>
      <c r="K33" s="44"/>
      <c r="L33" s="44"/>
    </row>
    <row r="34" spans="1:12" s="45" customFormat="1" ht="12.75" customHeight="1">
      <c r="A34" s="41"/>
      <c r="B34" s="42"/>
      <c r="C34" s="43" t="s">
        <v>87</v>
      </c>
      <c r="D34" s="44"/>
      <c r="E34" s="44"/>
      <c r="F34" s="44"/>
      <c r="G34" s="44"/>
      <c r="H34" s="44"/>
      <c r="I34" s="44"/>
      <c r="J34" s="44"/>
      <c r="K34" s="44"/>
      <c r="L34" s="44"/>
    </row>
    <row r="35" spans="1:13" ht="6" customHeight="1">
      <c r="A35" s="25"/>
      <c r="B35" s="26"/>
      <c r="C35" s="26"/>
      <c r="D35" s="26"/>
      <c r="F35" s="26"/>
      <c r="G35" s="26"/>
      <c r="H35" s="26"/>
      <c r="I35" s="26"/>
      <c r="J35" s="26"/>
      <c r="K35" s="26"/>
      <c r="L35" s="26"/>
      <c r="M35" s="26"/>
    </row>
    <row r="36" spans="1:13" ht="12.75">
      <c r="A36" s="25" t="s">
        <v>89</v>
      </c>
      <c r="B36" s="26"/>
      <c r="C36" s="26" t="s">
        <v>58</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2" s="45" customFormat="1" ht="12.75">
      <c r="A38" s="41" t="s">
        <v>23</v>
      </c>
      <c r="B38" s="42"/>
      <c r="C38" s="43" t="s">
        <v>94</v>
      </c>
      <c r="D38" s="46"/>
      <c r="E38" s="43"/>
      <c r="F38" s="43"/>
      <c r="G38" s="43"/>
      <c r="H38" s="43"/>
      <c r="I38" s="42"/>
      <c r="J38" s="42"/>
      <c r="K38" s="42"/>
      <c r="L38" s="42"/>
    </row>
    <row r="39" spans="1:12" s="45" customFormat="1" ht="6" customHeight="1">
      <c r="A39" s="41"/>
      <c r="B39" s="42"/>
      <c r="C39" s="43"/>
      <c r="D39" s="46"/>
      <c r="E39" s="43"/>
      <c r="F39" s="43"/>
      <c r="G39" s="43"/>
      <c r="H39" s="43"/>
      <c r="I39" s="42"/>
      <c r="J39" s="42"/>
      <c r="K39" s="42"/>
      <c r="L39" s="42"/>
    </row>
    <row r="40" spans="1:12" s="45" customFormat="1" ht="12.75">
      <c r="A40" s="41" t="s">
        <v>25</v>
      </c>
      <c r="B40" s="42"/>
      <c r="C40" s="42" t="s">
        <v>59</v>
      </c>
      <c r="D40" s="46"/>
      <c r="E40" s="47"/>
      <c r="F40" s="42"/>
      <c r="G40" s="42"/>
      <c r="H40" s="42"/>
      <c r="I40" s="42"/>
      <c r="J40" s="42"/>
      <c r="K40" s="42"/>
      <c r="L40" s="42"/>
    </row>
    <row r="41" spans="1:12" s="45" customFormat="1" ht="12.75">
      <c r="A41" s="41"/>
      <c r="B41" s="42"/>
      <c r="C41" s="42" t="s">
        <v>60</v>
      </c>
      <c r="D41" s="46"/>
      <c r="E41" s="47"/>
      <c r="F41" s="42"/>
      <c r="G41" s="42"/>
      <c r="H41" s="42"/>
      <c r="I41" s="42"/>
      <c r="J41" s="42"/>
      <c r="K41" s="42"/>
      <c r="L41" s="42"/>
    </row>
    <row r="42" spans="1:12" s="45" customFormat="1" ht="6" customHeight="1">
      <c r="A42" s="41"/>
      <c r="B42" s="42"/>
      <c r="C42" s="42"/>
      <c r="D42" s="46"/>
      <c r="E42" s="47"/>
      <c r="F42" s="42"/>
      <c r="G42" s="42"/>
      <c r="H42" s="42"/>
      <c r="I42" s="42"/>
      <c r="J42" s="42"/>
      <c r="K42" s="42"/>
      <c r="L42" s="42"/>
    </row>
    <row r="43" spans="1:12" s="45" customFormat="1" ht="12.75">
      <c r="A43" s="41" t="s">
        <v>28</v>
      </c>
      <c r="B43" s="42"/>
      <c r="C43" s="42" t="s">
        <v>29</v>
      </c>
      <c r="D43" s="46"/>
      <c r="E43" s="47"/>
      <c r="F43" s="42"/>
      <c r="G43" s="42"/>
      <c r="H43" s="42"/>
      <c r="I43" s="42"/>
      <c r="J43" s="42"/>
      <c r="K43" s="42"/>
      <c r="L43" s="42"/>
    </row>
    <row r="44" spans="1:12" s="45" customFormat="1" ht="6" customHeight="1">
      <c r="A44" s="41"/>
      <c r="B44" s="42"/>
      <c r="C44" s="42"/>
      <c r="D44" s="46"/>
      <c r="E44" s="47"/>
      <c r="F44" s="42"/>
      <c r="G44" s="42"/>
      <c r="H44" s="42"/>
      <c r="I44" s="42"/>
      <c r="J44" s="42"/>
      <c r="K44" s="42"/>
      <c r="L44" s="42"/>
    </row>
    <row r="45" spans="1:12" s="45" customFormat="1" ht="12.75">
      <c r="A45" s="41" t="s">
        <v>67</v>
      </c>
      <c r="B45" s="42"/>
      <c r="C45" s="42" t="s">
        <v>68</v>
      </c>
      <c r="D45" s="46"/>
      <c r="E45" s="47"/>
      <c r="F45" s="42"/>
      <c r="G45" s="42"/>
      <c r="H45" s="42"/>
      <c r="I45" s="42"/>
      <c r="J45" s="42"/>
      <c r="K45" s="42"/>
      <c r="L45" s="42"/>
    </row>
    <row r="46" spans="1:12" s="45" customFormat="1" ht="12.75">
      <c r="A46" s="41"/>
      <c r="B46" s="42"/>
      <c r="C46" s="42" t="s">
        <v>77</v>
      </c>
      <c r="D46" s="46"/>
      <c r="E46" s="47"/>
      <c r="F46" s="42"/>
      <c r="G46" s="42"/>
      <c r="H46" s="42"/>
      <c r="I46" s="42"/>
      <c r="J46" s="42"/>
      <c r="K46" s="42"/>
      <c r="L46" s="42"/>
    </row>
    <row r="47" spans="1:12" s="45" customFormat="1" ht="12.75">
      <c r="A47" s="41"/>
      <c r="B47" s="42"/>
      <c r="C47" s="42" t="s">
        <v>78</v>
      </c>
      <c r="D47" s="46"/>
      <c r="E47" s="47"/>
      <c r="F47" s="42"/>
      <c r="G47" s="42"/>
      <c r="H47" s="42"/>
      <c r="I47" s="42"/>
      <c r="J47" s="42"/>
      <c r="K47" s="42"/>
      <c r="L47" s="42"/>
    </row>
    <row r="48" spans="1:12" s="45" customFormat="1" ht="6" customHeight="1">
      <c r="A48" s="41"/>
      <c r="B48" s="42"/>
      <c r="C48" s="42"/>
      <c r="D48" s="46"/>
      <c r="E48" s="47"/>
      <c r="F48" s="42"/>
      <c r="G48" s="42"/>
      <c r="H48" s="42"/>
      <c r="I48" s="42"/>
      <c r="J48" s="42"/>
      <c r="K48" s="42"/>
      <c r="L48" s="42"/>
    </row>
    <row r="49" spans="1:12" s="45" customFormat="1" ht="12.75">
      <c r="A49" s="41" t="s">
        <v>30</v>
      </c>
      <c r="B49" s="42"/>
      <c r="C49" s="42" t="s">
        <v>69</v>
      </c>
      <c r="D49" s="46"/>
      <c r="E49" s="47"/>
      <c r="F49" s="42"/>
      <c r="G49" s="42"/>
      <c r="H49" s="42"/>
      <c r="I49" s="42"/>
      <c r="J49" s="42"/>
      <c r="K49" s="42"/>
      <c r="L49" s="42"/>
    </row>
    <row r="50" spans="1:12" s="45" customFormat="1" ht="12.75">
      <c r="A50" s="41"/>
      <c r="B50" s="42"/>
      <c r="C50" s="42" t="s">
        <v>70</v>
      </c>
      <c r="D50" s="46"/>
      <c r="E50" s="47"/>
      <c r="F50" s="42"/>
      <c r="G50" s="42"/>
      <c r="H50" s="42"/>
      <c r="I50" s="42"/>
      <c r="J50" s="42"/>
      <c r="K50" s="42"/>
      <c r="L50" s="42"/>
    </row>
    <row r="51" spans="1:12" s="45" customFormat="1" ht="6" customHeight="1">
      <c r="A51" s="41"/>
      <c r="B51" s="42"/>
      <c r="C51" s="42"/>
      <c r="D51" s="46"/>
      <c r="E51" s="47"/>
      <c r="F51" s="42"/>
      <c r="G51" s="42"/>
      <c r="H51" s="42"/>
      <c r="I51" s="42"/>
      <c r="J51" s="42"/>
      <c r="K51" s="42"/>
      <c r="L51" s="42"/>
    </row>
    <row r="52" spans="1:12" s="45" customFormat="1" ht="12.75">
      <c r="A52" s="41" t="s">
        <v>79</v>
      </c>
      <c r="B52" s="42"/>
      <c r="C52" s="42" t="s">
        <v>72</v>
      </c>
      <c r="D52" s="46"/>
      <c r="E52" s="47"/>
      <c r="F52" s="42"/>
      <c r="G52" s="42"/>
      <c r="H52" s="42"/>
      <c r="I52" s="42"/>
      <c r="J52" s="42"/>
      <c r="K52" s="42"/>
      <c r="L52" s="42"/>
    </row>
    <row r="53" spans="1:12" s="45" customFormat="1" ht="12.75">
      <c r="A53" s="48"/>
      <c r="B53" s="42"/>
      <c r="C53" s="42" t="s">
        <v>73</v>
      </c>
      <c r="D53" s="46"/>
      <c r="E53" s="47"/>
      <c r="F53" s="42"/>
      <c r="G53" s="42"/>
      <c r="H53" s="42"/>
      <c r="I53" s="42"/>
      <c r="J53" s="42"/>
      <c r="K53" s="42"/>
      <c r="L53" s="42"/>
    </row>
    <row r="54" spans="1:12" s="45" customFormat="1" ht="6" customHeight="1">
      <c r="A54" s="49"/>
      <c r="B54" s="50"/>
      <c r="C54" s="50"/>
      <c r="D54" s="50"/>
      <c r="E54" s="51"/>
      <c r="F54" s="50"/>
      <c r="G54" s="50"/>
      <c r="H54" s="50"/>
      <c r="I54" s="50"/>
      <c r="J54" s="50"/>
      <c r="K54" s="50"/>
      <c r="L54" s="50"/>
    </row>
    <row r="55" spans="1:12" ht="12.75">
      <c r="A55" s="28"/>
      <c r="B55" s="29"/>
      <c r="C55" s="29"/>
      <c r="D55" s="29"/>
      <c r="E55" s="29"/>
      <c r="F55" s="30"/>
      <c r="G55" s="29"/>
      <c r="H55" s="29"/>
      <c r="I55" s="29"/>
      <c r="J55" s="29"/>
      <c r="K55" s="29"/>
      <c r="L55" s="29"/>
    </row>
    <row r="56" spans="1:12" s="23" customFormat="1" ht="12.75">
      <c r="A56" s="123" t="s">
        <v>31</v>
      </c>
      <c r="B56" s="124"/>
      <c r="C56" s="124"/>
      <c r="D56" s="124"/>
      <c r="E56" s="124"/>
      <c r="F56" s="124"/>
      <c r="G56" s="124"/>
      <c r="H56" s="124"/>
      <c r="I56" s="124"/>
      <c r="J56" s="124"/>
      <c r="K56" s="124"/>
      <c r="L56" s="125"/>
    </row>
    <row r="57" ht="12.75">
      <c r="A57" s="24"/>
    </row>
    <row r="58" spans="1:12" ht="13.5">
      <c r="A58" s="31"/>
      <c r="E58" s="10" t="s">
        <v>9</v>
      </c>
      <c r="F58" s="122" t="s">
        <v>80</v>
      </c>
      <c r="G58" s="122"/>
      <c r="H58" s="122"/>
      <c r="I58" s="122"/>
      <c r="J58" s="10" t="s">
        <v>10</v>
      </c>
      <c r="K58" s="53" t="s">
        <v>75</v>
      </c>
      <c r="L58" s="10"/>
    </row>
    <row r="59" spans="1:12" ht="12.75">
      <c r="A59" s="34"/>
      <c r="E59" s="8" t="s">
        <v>17</v>
      </c>
      <c r="F59" s="8" t="s">
        <v>81</v>
      </c>
      <c r="G59" s="55" t="s">
        <v>82</v>
      </c>
      <c r="H59" s="35"/>
      <c r="I59" s="8" t="s">
        <v>83</v>
      </c>
      <c r="J59" s="8" t="s">
        <v>19</v>
      </c>
      <c r="K59" s="54" t="s">
        <v>76</v>
      </c>
      <c r="L59" s="15"/>
    </row>
    <row r="60" spans="2:12" ht="12.75">
      <c r="B60" s="38" t="s">
        <v>52</v>
      </c>
      <c r="C60" s="38"/>
      <c r="D60" s="38"/>
      <c r="E60" s="56">
        <v>0.39</v>
      </c>
      <c r="F60" s="56">
        <v>0.31</v>
      </c>
      <c r="G60" s="57">
        <v>0.0875</v>
      </c>
      <c r="H60" s="58"/>
      <c r="I60" s="56">
        <v>0.0125</v>
      </c>
      <c r="J60" s="56">
        <v>0.1</v>
      </c>
      <c r="K60" s="56">
        <v>0.1</v>
      </c>
      <c r="L60" s="39"/>
    </row>
    <row r="61" spans="2:12" ht="12.75">
      <c r="B61" s="38" t="s">
        <v>53</v>
      </c>
      <c r="C61" s="38"/>
      <c r="D61" s="38"/>
      <c r="E61" s="56">
        <v>0.41</v>
      </c>
      <c r="F61" s="56">
        <v>0.31</v>
      </c>
      <c r="G61" s="57">
        <v>0.0875</v>
      </c>
      <c r="H61" s="58"/>
      <c r="I61" s="56">
        <v>0.0125</v>
      </c>
      <c r="J61" s="56">
        <v>0.08</v>
      </c>
      <c r="K61" s="56">
        <v>0.1</v>
      </c>
      <c r="L61" s="39"/>
    </row>
    <row r="62" spans="2:12" ht="12.75">
      <c r="B62" s="38"/>
      <c r="C62" s="38"/>
      <c r="D62" s="38"/>
      <c r="E62" s="26"/>
      <c r="F62" s="27"/>
      <c r="G62" s="39"/>
      <c r="H62" s="26"/>
      <c r="I62" s="39"/>
      <c r="J62" s="39"/>
      <c r="K62" s="39"/>
      <c r="L62" s="39"/>
    </row>
    <row r="63" spans="1:12" s="23" customFormat="1" ht="12.75">
      <c r="A63" s="126" t="s">
        <v>44</v>
      </c>
      <c r="B63" s="127"/>
      <c r="C63" s="127"/>
      <c r="D63" s="127"/>
      <c r="E63" s="127"/>
      <c r="F63" s="127"/>
      <c r="G63" s="127"/>
      <c r="H63" s="127"/>
      <c r="I63" s="127"/>
      <c r="J63" s="127"/>
      <c r="K63" s="127"/>
      <c r="L63" s="128"/>
    </row>
    <row r="64" spans="1:6" ht="12.75">
      <c r="A64" s="24"/>
      <c r="E64"/>
      <c r="F64" s="16"/>
    </row>
    <row r="65" spans="1:12" ht="52.5" customHeight="1">
      <c r="A65" s="121" t="s">
        <v>99</v>
      </c>
      <c r="B65" s="129"/>
      <c r="C65" s="129"/>
      <c r="D65" s="129"/>
      <c r="E65" s="129"/>
      <c r="F65" s="129"/>
      <c r="G65" s="129"/>
      <c r="H65" s="129"/>
      <c r="I65" s="129"/>
      <c r="J65" s="129"/>
      <c r="K65" s="129"/>
      <c r="L65" s="129"/>
    </row>
    <row r="66" spans="1:6" ht="12.75">
      <c r="A66" s="16"/>
      <c r="E66"/>
      <c r="F66" s="16"/>
    </row>
    <row r="67" spans="2:5" ht="12.75">
      <c r="B67" s="24" t="s">
        <v>45</v>
      </c>
      <c r="C67" s="24"/>
      <c r="D67" s="24"/>
      <c r="E67" s="16">
        <v>291204</v>
      </c>
    </row>
    <row r="68" spans="2:5" ht="12.75">
      <c r="B68" s="24" t="s">
        <v>46</v>
      </c>
      <c r="C68" s="24"/>
      <c r="D68" s="24"/>
      <c r="E68" s="16">
        <v>634505</v>
      </c>
    </row>
    <row r="69" spans="2:5" ht="12.75">
      <c r="B69" s="16" t="s">
        <v>47</v>
      </c>
      <c r="E69" s="16">
        <v>308570</v>
      </c>
    </row>
    <row r="70" ht="12.75">
      <c r="E70" s="16" t="s">
        <v>32</v>
      </c>
    </row>
    <row r="72" ht="12.75">
      <c r="A72" s="59" t="s">
        <v>90</v>
      </c>
    </row>
  </sheetData>
  <sheetProtection/>
  <mergeCells count="12">
    <mergeCell ref="I10:L10"/>
    <mergeCell ref="A31:L31"/>
    <mergeCell ref="A56:L56"/>
    <mergeCell ref="F58:I58"/>
    <mergeCell ref="A63:L63"/>
    <mergeCell ref="A65:L65"/>
    <mergeCell ref="A1:L1"/>
    <mergeCell ref="A2:L2"/>
    <mergeCell ref="A3:L3"/>
    <mergeCell ref="A4:L4"/>
    <mergeCell ref="A5:L5"/>
    <mergeCell ref="A8:L8"/>
  </mergeCells>
  <hyperlinks>
    <hyperlink ref="A4" r:id="rId1" display="www.monticellocasinoandraceway.com"/>
  </hyperlinks>
  <printOptions horizontalCentered="1"/>
  <pageMargins left="0.25" right="0.25" top="0.75" bottom="0.5" header="0.5" footer="0.5"/>
  <pageSetup fitToHeight="1" fitToWidth="1" horizontalDpi="600" verticalDpi="600" orientation="portrait" scale="77"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M72"/>
  <sheetViews>
    <sheetView zoomScalePageLayoutView="0" workbookViewId="0" topLeftCell="A1">
      <selection activeCell="A1" sqref="A1:L1"/>
    </sheetView>
  </sheetViews>
  <sheetFormatPr defaultColWidth="9.140625" defaultRowHeight="12.75"/>
  <cols>
    <col min="1" max="1" width="9.28125" style="3" customWidth="1"/>
    <col min="2" max="2" width="14.140625" style="16" customWidth="1"/>
    <col min="3" max="3" width="11.7109375" style="16" customWidth="1"/>
    <col min="4" max="4" width="14.140625" style="16" customWidth="1"/>
    <col min="5" max="5" width="12.7109375" style="16" customWidth="1"/>
    <col min="6" max="6" width="8.8515625" style="17" customWidth="1"/>
    <col min="7" max="7" width="10.28125" style="16" customWidth="1"/>
    <col min="8" max="8" width="1.421875" style="16" customWidth="1"/>
    <col min="9" max="10" width="11.7109375" style="16" bestFit="1" customWidth="1"/>
    <col min="11" max="12" width="12.8515625" style="16" bestFit="1" customWidth="1"/>
    <col min="13" max="13" width="12.7109375" style="0" customWidth="1"/>
  </cols>
  <sheetData>
    <row r="1" spans="1:12" ht="17.25">
      <c r="A1" s="130" t="s">
        <v>55</v>
      </c>
      <c r="B1" s="130"/>
      <c r="C1" s="130"/>
      <c r="D1" s="130"/>
      <c r="E1" s="130"/>
      <c r="F1" s="130"/>
      <c r="G1" s="130"/>
      <c r="H1" s="130"/>
      <c r="I1" s="130"/>
      <c r="J1" s="130"/>
      <c r="K1" s="130"/>
      <c r="L1" s="130"/>
    </row>
    <row r="2" spans="1:12" ht="15">
      <c r="A2" s="131" t="s">
        <v>0</v>
      </c>
      <c r="B2" s="131"/>
      <c r="C2" s="131"/>
      <c r="D2" s="131"/>
      <c r="E2" s="131"/>
      <c r="F2" s="131"/>
      <c r="G2" s="131"/>
      <c r="H2" s="131"/>
      <c r="I2" s="131"/>
      <c r="J2" s="131"/>
      <c r="K2" s="131"/>
      <c r="L2" s="131"/>
    </row>
    <row r="3" spans="1:12" s="1" customFormat="1" ht="15">
      <c r="A3" s="131" t="s">
        <v>1</v>
      </c>
      <c r="B3" s="131"/>
      <c r="C3" s="131"/>
      <c r="D3" s="131"/>
      <c r="E3" s="131"/>
      <c r="F3" s="131"/>
      <c r="G3" s="131"/>
      <c r="H3" s="131"/>
      <c r="I3" s="131"/>
      <c r="J3" s="131"/>
      <c r="K3" s="131"/>
      <c r="L3" s="131"/>
    </row>
    <row r="4" spans="1:12" s="1" customFormat="1" ht="15">
      <c r="A4" s="112" t="s">
        <v>91</v>
      </c>
      <c r="B4" s="112"/>
      <c r="C4" s="112"/>
      <c r="D4" s="112"/>
      <c r="E4" s="112"/>
      <c r="F4" s="112"/>
      <c r="G4" s="112"/>
      <c r="H4" s="112"/>
      <c r="I4" s="112"/>
      <c r="J4" s="112"/>
      <c r="K4" s="112"/>
      <c r="L4" s="112"/>
    </row>
    <row r="5" spans="1:12" s="1" customFormat="1" ht="13.5">
      <c r="A5" s="132" t="s">
        <v>3</v>
      </c>
      <c r="B5" s="132"/>
      <c r="C5" s="132"/>
      <c r="D5" s="132"/>
      <c r="E5" s="132"/>
      <c r="F5" s="132"/>
      <c r="G5" s="132"/>
      <c r="H5" s="132"/>
      <c r="I5" s="132"/>
      <c r="J5" s="132"/>
      <c r="K5" s="132"/>
      <c r="L5" s="132"/>
    </row>
    <row r="6" spans="1:12" s="1" customFormat="1" ht="13.5">
      <c r="A6" s="2"/>
      <c r="B6" s="2"/>
      <c r="C6" s="2"/>
      <c r="D6" s="2"/>
      <c r="E6" s="2"/>
      <c r="F6" s="2"/>
      <c r="G6" s="2"/>
      <c r="H6" s="2"/>
      <c r="I6" s="2"/>
      <c r="J6" s="2"/>
      <c r="K6" s="2"/>
      <c r="L6" s="2"/>
    </row>
    <row r="7" spans="1:12" s="1" customFormat="1" ht="12.75">
      <c r="A7" s="3"/>
      <c r="B7" s="4"/>
      <c r="C7" s="4"/>
      <c r="D7" s="4"/>
      <c r="E7" s="5"/>
      <c r="F7" s="6"/>
      <c r="G7" s="5"/>
      <c r="H7" s="5"/>
      <c r="I7" s="5"/>
      <c r="J7" s="5"/>
      <c r="K7" s="5"/>
      <c r="L7" s="5"/>
    </row>
    <row r="8" spans="1:12" s="7" customFormat="1" ht="14.25" customHeight="1">
      <c r="A8" s="123" t="s">
        <v>97</v>
      </c>
      <c r="B8" s="124"/>
      <c r="C8" s="124"/>
      <c r="D8" s="124"/>
      <c r="E8" s="124"/>
      <c r="F8" s="124"/>
      <c r="G8" s="124"/>
      <c r="H8" s="124"/>
      <c r="I8" s="124"/>
      <c r="J8" s="124"/>
      <c r="K8" s="124"/>
      <c r="L8" s="125"/>
    </row>
    <row r="9" spans="1:12" s="1" customFormat="1" ht="9" customHeight="1">
      <c r="A9" s="3"/>
      <c r="B9" s="4"/>
      <c r="C9" s="4"/>
      <c r="D9" s="4"/>
      <c r="E9" s="5"/>
      <c r="F9" s="6"/>
      <c r="G9" s="5"/>
      <c r="H9" s="5"/>
      <c r="I9" s="5"/>
      <c r="J9" s="5"/>
      <c r="K9" s="5"/>
      <c r="L9" s="5"/>
    </row>
    <row r="10" spans="1:12" s="1" customFormat="1" ht="12.75">
      <c r="A10" s="3"/>
      <c r="B10" s="5"/>
      <c r="C10" s="5"/>
      <c r="D10" s="5"/>
      <c r="E10" s="5"/>
      <c r="F10" s="6"/>
      <c r="G10" s="5"/>
      <c r="H10" s="5"/>
      <c r="I10" s="122" t="s">
        <v>5</v>
      </c>
      <c r="J10" s="122"/>
      <c r="K10" s="122"/>
      <c r="L10" s="122"/>
    </row>
    <row r="11" spans="1:12" s="1" customFormat="1" ht="12" customHeight="1">
      <c r="A11" s="3"/>
      <c r="B11" s="5"/>
      <c r="C11" s="10"/>
      <c r="D11" s="5"/>
      <c r="E11" s="5"/>
      <c r="F11" s="6"/>
      <c r="G11" s="5"/>
      <c r="H11" s="5"/>
      <c r="I11" s="5"/>
      <c r="J11" s="5"/>
      <c r="K11" s="5"/>
      <c r="L11" s="5"/>
    </row>
    <row r="12" spans="1:12" s="12" customFormat="1" ht="12">
      <c r="A12" s="9"/>
      <c r="B12" s="10" t="s">
        <v>6</v>
      </c>
      <c r="C12" s="10" t="s">
        <v>61</v>
      </c>
      <c r="D12" s="10" t="s">
        <v>6</v>
      </c>
      <c r="E12" s="10"/>
      <c r="F12" s="11" t="s">
        <v>7</v>
      </c>
      <c r="G12" s="10" t="s">
        <v>8</v>
      </c>
      <c r="H12" s="10"/>
      <c r="I12" s="10" t="s">
        <v>9</v>
      </c>
      <c r="J12" s="10" t="s">
        <v>74</v>
      </c>
      <c r="K12" s="10" t="s">
        <v>10</v>
      </c>
      <c r="L12" s="10" t="s">
        <v>75</v>
      </c>
    </row>
    <row r="13" spans="1:12" s="12" customFormat="1" ht="12">
      <c r="A13" s="13" t="s">
        <v>11</v>
      </c>
      <c r="B13" s="8" t="s">
        <v>12</v>
      </c>
      <c r="C13" s="8" t="s">
        <v>19</v>
      </c>
      <c r="D13" s="8" t="s">
        <v>13</v>
      </c>
      <c r="E13" s="8" t="s">
        <v>14</v>
      </c>
      <c r="F13" s="14" t="s">
        <v>15</v>
      </c>
      <c r="G13" s="8" t="s">
        <v>16</v>
      </c>
      <c r="H13" s="15"/>
      <c r="I13" s="8" t="s">
        <v>17</v>
      </c>
      <c r="J13" s="8" t="s">
        <v>18</v>
      </c>
      <c r="K13" s="8" t="s">
        <v>19</v>
      </c>
      <c r="L13" s="8" t="s">
        <v>76</v>
      </c>
    </row>
    <row r="15" spans="1:12" ht="12.75">
      <c r="A15" s="3">
        <v>42095</v>
      </c>
      <c r="B15" s="16">
        <v>72587716.75</v>
      </c>
      <c r="C15" s="16">
        <v>919653.23</v>
      </c>
      <c r="D15" s="16">
        <f aca="true" t="shared" si="0" ref="D15:D26">+B15-C15-E15</f>
        <v>66790474.349999994</v>
      </c>
      <c r="E15" s="16">
        <v>4877589.17</v>
      </c>
      <c r="F15" s="17">
        <v>1110</v>
      </c>
      <c r="G15" s="16">
        <f>E15/F15/30</f>
        <v>146.47414924924925</v>
      </c>
      <c r="I15" s="16">
        <v>1902259.76</v>
      </c>
      <c r="J15" s="16">
        <v>1999811.57</v>
      </c>
      <c r="K15" s="16">
        <v>487758.92</v>
      </c>
      <c r="L15" s="16">
        <v>487758.92</v>
      </c>
    </row>
    <row r="16" spans="1:12" ht="12.75">
      <c r="A16" s="3">
        <v>42125</v>
      </c>
      <c r="B16" s="16">
        <v>84410989.92</v>
      </c>
      <c r="C16" s="16">
        <v>1010782.55</v>
      </c>
      <c r="D16" s="16">
        <f t="shared" si="0"/>
        <v>77600950.82000001</v>
      </c>
      <c r="E16" s="16">
        <v>5799256.55</v>
      </c>
      <c r="F16" s="17">
        <v>1110</v>
      </c>
      <c r="G16" s="16">
        <f>E16/F16/31</f>
        <v>168.53404678872423</v>
      </c>
      <c r="I16" s="16">
        <v>2261710.03</v>
      </c>
      <c r="J16" s="16">
        <v>2377695.21</v>
      </c>
      <c r="K16" s="16">
        <v>579925.66</v>
      </c>
      <c r="L16" s="16">
        <v>579925.66</v>
      </c>
    </row>
    <row r="17" spans="1:12" ht="12.75">
      <c r="A17" s="3">
        <v>42156</v>
      </c>
      <c r="B17" s="16">
        <v>78218137.29</v>
      </c>
      <c r="C17" s="16">
        <v>951481.4</v>
      </c>
      <c r="D17" s="16">
        <f t="shared" si="0"/>
        <v>72344023.57</v>
      </c>
      <c r="E17" s="16">
        <v>4922632.32</v>
      </c>
      <c r="F17" s="17">
        <v>1110</v>
      </c>
      <c r="G17" s="16">
        <f>E17/F17/30</f>
        <v>147.8267963963964</v>
      </c>
      <c r="I17" s="16">
        <v>1919826.59</v>
      </c>
      <c r="J17" s="16">
        <v>2018279.25</v>
      </c>
      <c r="K17" s="16">
        <v>492263.27</v>
      </c>
      <c r="L17" s="16">
        <v>492263.27</v>
      </c>
    </row>
    <row r="18" spans="1:12" ht="12.75">
      <c r="A18" s="3">
        <v>42186</v>
      </c>
      <c r="B18" s="16">
        <v>87765606.12</v>
      </c>
      <c r="C18" s="16">
        <v>996351.45</v>
      </c>
      <c r="D18" s="16">
        <f t="shared" si="0"/>
        <v>80805019.89</v>
      </c>
      <c r="E18" s="16">
        <v>5964234.78</v>
      </c>
      <c r="F18" s="17">
        <v>1110</v>
      </c>
      <c r="G18" s="16">
        <f>E18/F18/31</f>
        <v>173.32853182214475</v>
      </c>
      <c r="I18" s="16">
        <v>2326051.54</v>
      </c>
      <c r="J18" s="16">
        <v>2445336.26</v>
      </c>
      <c r="K18" s="16">
        <v>596423.52</v>
      </c>
      <c r="L18" s="16">
        <v>596423.52</v>
      </c>
    </row>
    <row r="19" spans="1:12" ht="12.75">
      <c r="A19" s="3">
        <v>42217</v>
      </c>
      <c r="B19" s="16">
        <v>85793881.33</v>
      </c>
      <c r="C19" s="16">
        <v>1023859.6</v>
      </c>
      <c r="D19" s="16">
        <f t="shared" si="0"/>
        <v>78892747.28</v>
      </c>
      <c r="E19" s="16">
        <v>5877274.45</v>
      </c>
      <c r="F19" s="17">
        <v>1110</v>
      </c>
      <c r="G19" s="16">
        <f>E19/F19/31</f>
        <v>170.8013498982854</v>
      </c>
      <c r="I19" s="16">
        <v>2292137.06</v>
      </c>
      <c r="J19" s="16">
        <v>2409682.52</v>
      </c>
      <c r="K19" s="16">
        <v>587727.44</v>
      </c>
      <c r="L19" s="16">
        <v>587727.44</v>
      </c>
    </row>
    <row r="20" spans="1:12" ht="12.75">
      <c r="A20" s="3">
        <v>42248</v>
      </c>
      <c r="B20" s="16">
        <v>76474679.81</v>
      </c>
      <c r="C20" s="16">
        <v>870614.17</v>
      </c>
      <c r="D20" s="16">
        <f t="shared" si="0"/>
        <v>70367303.77</v>
      </c>
      <c r="E20" s="16">
        <v>5236761.87</v>
      </c>
      <c r="F20" s="17">
        <v>1110</v>
      </c>
      <c r="G20" s="16">
        <f>E20/F20/30</f>
        <v>157.26011621621623</v>
      </c>
      <c r="I20" s="16">
        <v>2042337.13</v>
      </c>
      <c r="J20" s="16">
        <v>2147072.36</v>
      </c>
      <c r="K20" s="16">
        <v>523676.23</v>
      </c>
      <c r="L20" s="16">
        <v>523676.23</v>
      </c>
    </row>
    <row r="21" spans="1:12" ht="12.75">
      <c r="A21" s="3">
        <v>42278</v>
      </c>
      <c r="B21" s="16">
        <v>76706000.33</v>
      </c>
      <c r="C21" s="16">
        <v>985863.47</v>
      </c>
      <c r="D21" s="16">
        <f t="shared" si="0"/>
        <v>70690879.31</v>
      </c>
      <c r="E21" s="16">
        <v>5029257.55</v>
      </c>
      <c r="F21" s="17">
        <v>1110</v>
      </c>
      <c r="G21" s="16">
        <f>E21/F21/31</f>
        <v>146.15685992444054</v>
      </c>
      <c r="I21" s="16">
        <v>1961410.45</v>
      </c>
      <c r="J21" s="16">
        <v>2061995.6</v>
      </c>
      <c r="K21" s="16">
        <v>502925.77</v>
      </c>
      <c r="L21" s="16">
        <v>502925.77</v>
      </c>
    </row>
    <row r="22" spans="1:12" ht="12.75">
      <c r="A22" s="3">
        <v>42309</v>
      </c>
      <c r="B22" s="16">
        <v>70290634.9</v>
      </c>
      <c r="C22" s="16">
        <v>876040.39</v>
      </c>
      <c r="D22" s="16">
        <f t="shared" si="0"/>
        <v>64727761.720000006</v>
      </c>
      <c r="E22" s="16">
        <v>4686832.79</v>
      </c>
      <c r="F22" s="17">
        <v>1110</v>
      </c>
      <c r="G22" s="16">
        <f>E22/F22/30</f>
        <v>140.74572942942945</v>
      </c>
      <c r="I22" s="16">
        <v>1827864.79</v>
      </c>
      <c r="J22" s="16">
        <v>1921601.44</v>
      </c>
      <c r="K22" s="16">
        <v>468683.31</v>
      </c>
      <c r="L22" s="16">
        <v>468683.31</v>
      </c>
    </row>
    <row r="23" spans="1:12" ht="12.75">
      <c r="A23" s="3">
        <v>42339</v>
      </c>
      <c r="B23" s="16">
        <v>69435707.34</v>
      </c>
      <c r="C23" s="16">
        <v>834746.24</v>
      </c>
      <c r="D23" s="16">
        <f t="shared" si="0"/>
        <v>64197451.85000001</v>
      </c>
      <c r="E23" s="16">
        <v>4403509.25</v>
      </c>
      <c r="F23" s="17">
        <v>1110</v>
      </c>
      <c r="G23" s="16">
        <f>E23/F23/31</f>
        <v>127.97178872420808</v>
      </c>
      <c r="I23" s="16">
        <v>1717368.59</v>
      </c>
      <c r="J23" s="16">
        <v>1805438.78</v>
      </c>
      <c r="K23" s="16">
        <v>440350.95</v>
      </c>
      <c r="L23" s="16">
        <v>440350.95</v>
      </c>
    </row>
    <row r="24" spans="1:12" ht="12.75">
      <c r="A24" s="3">
        <v>42370</v>
      </c>
      <c r="B24" s="16">
        <v>69430229.12</v>
      </c>
      <c r="C24" s="16">
        <v>859787.36</v>
      </c>
      <c r="D24" s="16">
        <f t="shared" si="0"/>
        <v>63932168.21000001</v>
      </c>
      <c r="E24" s="16">
        <v>4638273.55</v>
      </c>
      <c r="F24" s="17">
        <v>1110</v>
      </c>
      <c r="G24" s="16">
        <f>E24/F24/31</f>
        <v>134.79434902644581</v>
      </c>
      <c r="I24" s="16">
        <v>1808926.72</v>
      </c>
      <c r="J24" s="16">
        <v>1901692.16</v>
      </c>
      <c r="K24" s="16">
        <v>463827.39</v>
      </c>
      <c r="L24" s="16">
        <v>463827.39</v>
      </c>
    </row>
    <row r="25" spans="1:12" ht="12.75">
      <c r="A25" s="3">
        <v>42401</v>
      </c>
      <c r="B25" s="16">
        <v>68991982.92</v>
      </c>
      <c r="C25" s="16">
        <v>842777.41</v>
      </c>
      <c r="D25" s="16">
        <f t="shared" si="0"/>
        <v>63623724.49000001</v>
      </c>
      <c r="E25" s="16">
        <v>4525481.02</v>
      </c>
      <c r="F25" s="17">
        <v>1110</v>
      </c>
      <c r="G25" s="16">
        <f>E25/F25/29</f>
        <v>140.58654923889407</v>
      </c>
      <c r="I25" s="16">
        <v>1764937.61</v>
      </c>
      <c r="J25" s="16">
        <v>1855447.23</v>
      </c>
      <c r="K25" s="16">
        <v>452548.13</v>
      </c>
      <c r="L25" s="16">
        <v>452548.13</v>
      </c>
    </row>
    <row r="26" spans="1:12" ht="12.75">
      <c r="A26" s="3">
        <v>42430</v>
      </c>
      <c r="B26" s="16">
        <v>77437254.61</v>
      </c>
      <c r="C26" s="16">
        <v>870277.52</v>
      </c>
      <c r="D26" s="16">
        <f t="shared" si="0"/>
        <v>71672999.91</v>
      </c>
      <c r="E26" s="16">
        <v>4893977.18</v>
      </c>
      <c r="F26" s="17">
        <v>1110</v>
      </c>
      <c r="G26" s="16">
        <f>E26/F26/31</f>
        <v>142.22543388549838</v>
      </c>
      <c r="I26" s="16">
        <v>1908651.11</v>
      </c>
      <c r="J26" s="16">
        <v>2006530.65</v>
      </c>
      <c r="K26" s="16">
        <v>489397.75</v>
      </c>
      <c r="L26" s="16">
        <v>489397.74</v>
      </c>
    </row>
    <row r="27" spans="1:12" ht="13.5" thickBot="1">
      <c r="A27" s="3" t="s">
        <v>20</v>
      </c>
      <c r="B27" s="18">
        <f>SUM(B15:B26)</f>
        <v>917542820.44</v>
      </c>
      <c r="C27" s="18">
        <f>SUM(C15:C26)</f>
        <v>11042234.789999997</v>
      </c>
      <c r="D27" s="18">
        <f>SUM(D15:D26)</f>
        <v>845645505.17</v>
      </c>
      <c r="E27" s="18">
        <f>SUM(E15:E26)</f>
        <v>60855080.48</v>
      </c>
      <c r="I27" s="18">
        <f>SUM(I15:I26)</f>
        <v>23733481.379999995</v>
      </c>
      <c r="J27" s="18">
        <f>SUM(J15:J26)</f>
        <v>24950583.029999997</v>
      </c>
      <c r="K27" s="18">
        <f>SUM(K15:K26)</f>
        <v>6085508.34</v>
      </c>
      <c r="L27" s="18">
        <f>SUM(L15:L26)</f>
        <v>6085508.33</v>
      </c>
    </row>
    <row r="28" spans="2:12" ht="10.5" customHeight="1" thickTop="1">
      <c r="B28" s="19"/>
      <c r="C28" s="19"/>
      <c r="D28" s="19"/>
      <c r="E28" s="19"/>
      <c r="I28" s="19"/>
      <c r="J28" s="19"/>
      <c r="K28" s="19"/>
      <c r="L28" s="19"/>
    </row>
    <row r="29" spans="1:12" s="22" customFormat="1" ht="12.75">
      <c r="A29" s="20"/>
      <c r="B29" s="21"/>
      <c r="C29" s="21">
        <f>C27/B27</f>
        <v>0.01203457162326744</v>
      </c>
      <c r="D29" s="21">
        <f>D27/B27</f>
        <v>0.921641460574535</v>
      </c>
      <c r="E29" s="21">
        <f>E27/B27</f>
        <v>0.06632396780219744</v>
      </c>
      <c r="I29" s="21">
        <f>I27/$E$27</f>
        <v>0.3899999998816861</v>
      </c>
      <c r="J29" s="21">
        <f>J27/$E$27</f>
        <v>0.41000000054555835</v>
      </c>
      <c r="K29" s="21">
        <f>K27/$E$27</f>
        <v>0.10000000479828468</v>
      </c>
      <c r="L29" s="21">
        <f>L27/$E$27</f>
        <v>0.10000000463395986</v>
      </c>
    </row>
    <row r="31" spans="1:12" s="23" customFormat="1" ht="12.75">
      <c r="A31" s="123" t="s">
        <v>21</v>
      </c>
      <c r="B31" s="124"/>
      <c r="C31" s="124"/>
      <c r="D31" s="124"/>
      <c r="E31" s="124"/>
      <c r="F31" s="124"/>
      <c r="G31" s="124"/>
      <c r="H31" s="124"/>
      <c r="I31" s="124"/>
      <c r="J31" s="124"/>
      <c r="K31" s="124"/>
      <c r="L31" s="125"/>
    </row>
    <row r="32" ht="12.75">
      <c r="A32" s="24"/>
    </row>
    <row r="33" spans="1:12" s="45" customFormat="1" ht="12.75" customHeight="1">
      <c r="A33" s="41" t="s">
        <v>22</v>
      </c>
      <c r="B33" s="42"/>
      <c r="C33" s="43" t="s">
        <v>86</v>
      </c>
      <c r="D33" s="44"/>
      <c r="E33" s="44"/>
      <c r="F33" s="44"/>
      <c r="G33" s="44"/>
      <c r="H33" s="44"/>
      <c r="I33" s="44"/>
      <c r="J33" s="44"/>
      <c r="K33" s="44"/>
      <c r="L33" s="44"/>
    </row>
    <row r="34" spans="1:12" s="45" customFormat="1" ht="12.75" customHeight="1">
      <c r="A34" s="41"/>
      <c r="B34" s="42"/>
      <c r="C34" s="43" t="s">
        <v>87</v>
      </c>
      <c r="D34" s="44"/>
      <c r="E34" s="44"/>
      <c r="F34" s="44"/>
      <c r="G34" s="44"/>
      <c r="H34" s="44"/>
      <c r="I34" s="44"/>
      <c r="J34" s="44"/>
      <c r="K34" s="44"/>
      <c r="L34" s="44"/>
    </row>
    <row r="35" spans="1:13" ht="6" customHeight="1">
      <c r="A35" s="25"/>
      <c r="B35" s="26"/>
      <c r="C35" s="26"/>
      <c r="D35" s="26"/>
      <c r="F35" s="26"/>
      <c r="G35" s="26"/>
      <c r="H35" s="26"/>
      <c r="I35" s="26"/>
      <c r="J35" s="26"/>
      <c r="K35" s="26"/>
      <c r="L35" s="26"/>
      <c r="M35" s="26"/>
    </row>
    <row r="36" spans="1:13" ht="12.75">
      <c r="A36" s="25" t="s">
        <v>89</v>
      </c>
      <c r="B36" s="26"/>
      <c r="C36" s="26" t="s">
        <v>58</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2" s="45" customFormat="1" ht="12.75">
      <c r="A38" s="41" t="s">
        <v>23</v>
      </c>
      <c r="B38" s="42"/>
      <c r="C38" s="43" t="s">
        <v>94</v>
      </c>
      <c r="D38" s="46"/>
      <c r="E38" s="43"/>
      <c r="F38" s="43"/>
      <c r="G38" s="43"/>
      <c r="H38" s="43"/>
      <c r="I38" s="42"/>
      <c r="J38" s="42"/>
      <c r="K38" s="42"/>
      <c r="L38" s="42"/>
    </row>
    <row r="39" spans="1:12" s="45" customFormat="1" ht="6" customHeight="1">
      <c r="A39" s="41"/>
      <c r="B39" s="42"/>
      <c r="C39" s="43"/>
      <c r="D39" s="46"/>
      <c r="E39" s="43"/>
      <c r="F39" s="43"/>
      <c r="G39" s="43"/>
      <c r="H39" s="43"/>
      <c r="I39" s="42"/>
      <c r="J39" s="42"/>
      <c r="K39" s="42"/>
      <c r="L39" s="42"/>
    </row>
    <row r="40" spans="1:12" s="45" customFormat="1" ht="12.75">
      <c r="A40" s="41" t="s">
        <v>25</v>
      </c>
      <c r="B40" s="42"/>
      <c r="C40" s="42" t="s">
        <v>59</v>
      </c>
      <c r="D40" s="46"/>
      <c r="E40" s="47"/>
      <c r="F40" s="42"/>
      <c r="G40" s="42"/>
      <c r="H40" s="42"/>
      <c r="I40" s="42"/>
      <c r="J40" s="42"/>
      <c r="K40" s="42"/>
      <c r="L40" s="42"/>
    </row>
    <row r="41" spans="1:12" s="45" customFormat="1" ht="12.75">
      <c r="A41" s="41"/>
      <c r="B41" s="42"/>
      <c r="C41" s="42" t="s">
        <v>60</v>
      </c>
      <c r="D41" s="46"/>
      <c r="E41" s="47"/>
      <c r="F41" s="42"/>
      <c r="G41" s="42"/>
      <c r="H41" s="42"/>
      <c r="I41" s="42"/>
      <c r="J41" s="42"/>
      <c r="K41" s="42"/>
      <c r="L41" s="42"/>
    </row>
    <row r="42" spans="1:12" s="45" customFormat="1" ht="6" customHeight="1">
      <c r="A42" s="41"/>
      <c r="B42" s="42"/>
      <c r="C42" s="42"/>
      <c r="D42" s="46"/>
      <c r="E42" s="47"/>
      <c r="F42" s="42"/>
      <c r="G42" s="42"/>
      <c r="H42" s="42"/>
      <c r="I42" s="42"/>
      <c r="J42" s="42"/>
      <c r="K42" s="42"/>
      <c r="L42" s="42"/>
    </row>
    <row r="43" spans="1:12" s="45" customFormat="1" ht="12.75">
      <c r="A43" s="41" t="s">
        <v>28</v>
      </c>
      <c r="B43" s="42"/>
      <c r="C43" s="42" t="s">
        <v>29</v>
      </c>
      <c r="D43" s="46"/>
      <c r="E43" s="47"/>
      <c r="F43" s="42"/>
      <c r="G43" s="42"/>
      <c r="H43" s="42"/>
      <c r="I43" s="42"/>
      <c r="J43" s="42"/>
      <c r="K43" s="42"/>
      <c r="L43" s="42"/>
    </row>
    <row r="44" spans="1:12" s="45" customFormat="1" ht="6" customHeight="1">
      <c r="A44" s="41"/>
      <c r="B44" s="42"/>
      <c r="C44" s="42"/>
      <c r="D44" s="46"/>
      <c r="E44" s="47"/>
      <c r="F44" s="42"/>
      <c r="G44" s="42"/>
      <c r="H44" s="42"/>
      <c r="I44" s="42"/>
      <c r="J44" s="42"/>
      <c r="K44" s="42"/>
      <c r="L44" s="42"/>
    </row>
    <row r="45" spans="1:12" s="45" customFormat="1" ht="12.75">
      <c r="A45" s="41" t="s">
        <v>67</v>
      </c>
      <c r="B45" s="42"/>
      <c r="C45" s="42" t="s">
        <v>68</v>
      </c>
      <c r="D45" s="46"/>
      <c r="E45" s="47"/>
      <c r="F45" s="42"/>
      <c r="G45" s="42"/>
      <c r="H45" s="42"/>
      <c r="I45" s="42"/>
      <c r="J45" s="42"/>
      <c r="K45" s="42"/>
      <c r="L45" s="42"/>
    </row>
    <row r="46" spans="1:12" s="45" customFormat="1" ht="12.75">
      <c r="A46" s="41"/>
      <c r="B46" s="42"/>
      <c r="C46" s="42" t="s">
        <v>77</v>
      </c>
      <c r="D46" s="46"/>
      <c r="E46" s="47"/>
      <c r="F46" s="42"/>
      <c r="G46" s="42"/>
      <c r="H46" s="42"/>
      <c r="I46" s="42"/>
      <c r="J46" s="42"/>
      <c r="K46" s="42"/>
      <c r="L46" s="42"/>
    </row>
    <row r="47" spans="1:12" s="45" customFormat="1" ht="12.75">
      <c r="A47" s="41"/>
      <c r="B47" s="42"/>
      <c r="C47" s="42" t="s">
        <v>78</v>
      </c>
      <c r="D47" s="46"/>
      <c r="E47" s="47"/>
      <c r="F47" s="42"/>
      <c r="G47" s="42"/>
      <c r="H47" s="42"/>
      <c r="I47" s="42"/>
      <c r="J47" s="42"/>
      <c r="K47" s="42"/>
      <c r="L47" s="42"/>
    </row>
    <row r="48" spans="1:12" s="45" customFormat="1" ht="6" customHeight="1">
      <c r="A48" s="41"/>
      <c r="B48" s="42"/>
      <c r="C48" s="42"/>
      <c r="D48" s="46"/>
      <c r="E48" s="47"/>
      <c r="F48" s="42"/>
      <c r="G48" s="42"/>
      <c r="H48" s="42"/>
      <c r="I48" s="42"/>
      <c r="J48" s="42"/>
      <c r="K48" s="42"/>
      <c r="L48" s="42"/>
    </row>
    <row r="49" spans="1:12" s="45" customFormat="1" ht="12.75">
      <c r="A49" s="41" t="s">
        <v>30</v>
      </c>
      <c r="B49" s="42"/>
      <c r="C49" s="42" t="s">
        <v>69</v>
      </c>
      <c r="D49" s="46"/>
      <c r="E49" s="47"/>
      <c r="F49" s="42"/>
      <c r="G49" s="42"/>
      <c r="H49" s="42"/>
      <c r="I49" s="42"/>
      <c r="J49" s="42"/>
      <c r="K49" s="42"/>
      <c r="L49" s="42"/>
    </row>
    <row r="50" spans="1:12" s="45" customFormat="1" ht="12.75">
      <c r="A50" s="41"/>
      <c r="B50" s="42"/>
      <c r="C50" s="42" t="s">
        <v>70</v>
      </c>
      <c r="D50" s="46"/>
      <c r="E50" s="47"/>
      <c r="F50" s="42"/>
      <c r="G50" s="42"/>
      <c r="H50" s="42"/>
      <c r="I50" s="42"/>
      <c r="J50" s="42"/>
      <c r="K50" s="42"/>
      <c r="L50" s="42"/>
    </row>
    <row r="51" spans="1:12" s="45" customFormat="1" ht="6" customHeight="1">
      <c r="A51" s="41"/>
      <c r="B51" s="42"/>
      <c r="C51" s="42"/>
      <c r="D51" s="46"/>
      <c r="E51" s="47"/>
      <c r="F51" s="42"/>
      <c r="G51" s="42"/>
      <c r="H51" s="42"/>
      <c r="I51" s="42"/>
      <c r="J51" s="42"/>
      <c r="K51" s="42"/>
      <c r="L51" s="42"/>
    </row>
    <row r="52" spans="1:12" s="45" customFormat="1" ht="12.75">
      <c r="A52" s="41" t="s">
        <v>79</v>
      </c>
      <c r="B52" s="42"/>
      <c r="C52" s="42" t="s">
        <v>72</v>
      </c>
      <c r="D52" s="46"/>
      <c r="E52" s="47"/>
      <c r="F52" s="42"/>
      <c r="G52" s="42"/>
      <c r="H52" s="42"/>
      <c r="I52" s="42"/>
      <c r="J52" s="42"/>
      <c r="K52" s="42"/>
      <c r="L52" s="42"/>
    </row>
    <row r="53" spans="1:12" s="45" customFormat="1" ht="12.75">
      <c r="A53" s="48"/>
      <c r="B53" s="42"/>
      <c r="C53" s="42" t="s">
        <v>73</v>
      </c>
      <c r="D53" s="46"/>
      <c r="E53" s="47"/>
      <c r="F53" s="42"/>
      <c r="G53" s="42"/>
      <c r="H53" s="42"/>
      <c r="I53" s="42"/>
      <c r="J53" s="42"/>
      <c r="K53" s="42"/>
      <c r="L53" s="42"/>
    </row>
    <row r="54" spans="1:12" s="45" customFormat="1" ht="6" customHeight="1">
      <c r="A54" s="49"/>
      <c r="B54" s="50"/>
      <c r="C54" s="50"/>
      <c r="D54" s="50"/>
      <c r="E54" s="51"/>
      <c r="F54" s="50"/>
      <c r="G54" s="50"/>
      <c r="H54" s="50"/>
      <c r="I54" s="50"/>
      <c r="J54" s="50"/>
      <c r="K54" s="50"/>
      <c r="L54" s="50"/>
    </row>
    <row r="55" spans="1:12" ht="12.75">
      <c r="A55" s="28"/>
      <c r="B55" s="29"/>
      <c r="C55" s="29"/>
      <c r="D55" s="29"/>
      <c r="E55" s="29"/>
      <c r="F55" s="30"/>
      <c r="G55" s="29"/>
      <c r="H55" s="29"/>
      <c r="I55" s="29"/>
      <c r="J55" s="29"/>
      <c r="K55" s="29"/>
      <c r="L55" s="29"/>
    </row>
    <row r="56" spans="1:12" s="23" customFormat="1" ht="12.75">
      <c r="A56" s="123" t="s">
        <v>31</v>
      </c>
      <c r="B56" s="124"/>
      <c r="C56" s="124"/>
      <c r="D56" s="124"/>
      <c r="E56" s="124"/>
      <c r="F56" s="124"/>
      <c r="G56" s="124"/>
      <c r="H56" s="124"/>
      <c r="I56" s="124"/>
      <c r="J56" s="124"/>
      <c r="K56" s="124"/>
      <c r="L56" s="125"/>
    </row>
    <row r="57" ht="12.75">
      <c r="A57" s="24"/>
    </row>
    <row r="58" spans="1:12" ht="13.5">
      <c r="A58" s="31"/>
      <c r="E58" s="10" t="s">
        <v>9</v>
      </c>
      <c r="F58" s="122" t="s">
        <v>80</v>
      </c>
      <c r="G58" s="122"/>
      <c r="H58" s="122"/>
      <c r="I58" s="122"/>
      <c r="J58" s="10" t="s">
        <v>10</v>
      </c>
      <c r="K58" s="53" t="s">
        <v>75</v>
      </c>
      <c r="L58" s="10"/>
    </row>
    <row r="59" spans="1:12" ht="12.75">
      <c r="A59" s="34"/>
      <c r="E59" s="8" t="s">
        <v>17</v>
      </c>
      <c r="F59" s="8" t="s">
        <v>81</v>
      </c>
      <c r="G59" s="55" t="s">
        <v>82</v>
      </c>
      <c r="H59" s="35"/>
      <c r="I59" s="8" t="s">
        <v>83</v>
      </c>
      <c r="J59" s="8" t="s">
        <v>19</v>
      </c>
      <c r="K59" s="54" t="s">
        <v>76</v>
      </c>
      <c r="L59" s="15"/>
    </row>
    <row r="60" spans="2:12" ht="12.75">
      <c r="B60" s="38" t="s">
        <v>52</v>
      </c>
      <c r="C60" s="38"/>
      <c r="D60" s="38"/>
      <c r="E60" s="56">
        <v>0.39</v>
      </c>
      <c r="F60" s="56">
        <v>0.31</v>
      </c>
      <c r="G60" s="57">
        <v>0.0875</v>
      </c>
      <c r="H60" s="58"/>
      <c r="I60" s="56">
        <v>0.0125</v>
      </c>
      <c r="J60" s="56">
        <v>0.1</v>
      </c>
      <c r="K60" s="56">
        <v>0.1</v>
      </c>
      <c r="L60" s="39"/>
    </row>
    <row r="61" spans="2:12" ht="12.75">
      <c r="B61" s="38" t="s">
        <v>53</v>
      </c>
      <c r="C61" s="38"/>
      <c r="D61" s="38"/>
      <c r="E61" s="56">
        <v>0.41</v>
      </c>
      <c r="F61" s="56">
        <v>0.31</v>
      </c>
      <c r="G61" s="57">
        <v>0.0875</v>
      </c>
      <c r="H61" s="58"/>
      <c r="I61" s="56">
        <v>0.0125</v>
      </c>
      <c r="J61" s="56">
        <v>0.08</v>
      </c>
      <c r="K61" s="56">
        <v>0.1</v>
      </c>
      <c r="L61" s="39"/>
    </row>
    <row r="62" spans="2:12" ht="12.75">
      <c r="B62" s="38"/>
      <c r="C62" s="38"/>
      <c r="D62" s="38"/>
      <c r="E62" s="26"/>
      <c r="F62" s="27"/>
      <c r="G62" s="39"/>
      <c r="H62" s="26"/>
      <c r="I62" s="39"/>
      <c r="J62" s="39"/>
      <c r="K62" s="39"/>
      <c r="L62" s="39"/>
    </row>
    <row r="63" spans="1:12" s="23" customFormat="1" ht="12.75">
      <c r="A63" s="126" t="s">
        <v>44</v>
      </c>
      <c r="B63" s="127"/>
      <c r="C63" s="127"/>
      <c r="D63" s="127"/>
      <c r="E63" s="127"/>
      <c r="F63" s="127"/>
      <c r="G63" s="127"/>
      <c r="H63" s="127"/>
      <c r="I63" s="127"/>
      <c r="J63" s="127"/>
      <c r="K63" s="127"/>
      <c r="L63" s="128"/>
    </row>
    <row r="64" spans="1:6" ht="12.75">
      <c r="A64" s="24"/>
      <c r="E64"/>
      <c r="F64" s="16"/>
    </row>
    <row r="65" spans="1:12" ht="52.5" customHeight="1">
      <c r="A65" s="121" t="s">
        <v>100</v>
      </c>
      <c r="B65" s="129"/>
      <c r="C65" s="129"/>
      <c r="D65" s="129"/>
      <c r="E65" s="129"/>
      <c r="F65" s="129"/>
      <c r="G65" s="129"/>
      <c r="H65" s="129"/>
      <c r="I65" s="129"/>
      <c r="J65" s="129"/>
      <c r="K65" s="129"/>
      <c r="L65" s="129"/>
    </row>
    <row r="66" spans="1:6" ht="12.75">
      <c r="A66" s="16"/>
      <c r="E66"/>
      <c r="F66" s="16"/>
    </row>
    <row r="67" spans="2:5" ht="12.75">
      <c r="B67" s="24" t="s">
        <v>45</v>
      </c>
      <c r="C67" s="24"/>
      <c r="D67" s="24"/>
      <c r="E67" s="16">
        <v>291204</v>
      </c>
    </row>
    <row r="68" spans="2:5" ht="12.75">
      <c r="B68" s="24" t="s">
        <v>46</v>
      </c>
      <c r="C68" s="24"/>
      <c r="D68" s="24"/>
      <c r="E68" s="16">
        <v>634505</v>
      </c>
    </row>
    <row r="69" spans="2:5" ht="12.75">
      <c r="B69" s="16" t="s">
        <v>47</v>
      </c>
      <c r="E69" s="16">
        <v>308570</v>
      </c>
    </row>
    <row r="70" ht="12.75">
      <c r="E70" s="16" t="s">
        <v>32</v>
      </c>
    </row>
    <row r="72" ht="12.75">
      <c r="A72" s="59" t="s">
        <v>90</v>
      </c>
    </row>
  </sheetData>
  <sheetProtection/>
  <mergeCells count="12">
    <mergeCell ref="A1:L1"/>
    <mergeCell ref="A2:L2"/>
    <mergeCell ref="A3:L3"/>
    <mergeCell ref="A4:L4"/>
    <mergeCell ref="A5:L5"/>
    <mergeCell ref="A8:L8"/>
    <mergeCell ref="I10:L10"/>
    <mergeCell ref="A31:L31"/>
    <mergeCell ref="A56:L56"/>
    <mergeCell ref="F58:I58"/>
    <mergeCell ref="A63:L63"/>
    <mergeCell ref="A65:L65"/>
  </mergeCells>
  <hyperlinks>
    <hyperlink ref="A4" r:id="rId1" display="www.monticellocasinoandraceway.com"/>
  </hyperlinks>
  <printOptions horizontalCentered="1"/>
  <pageMargins left="0.25" right="0.25" top="0.75" bottom="0.5" header="0.5" footer="0.5"/>
  <pageSetup fitToHeight="1" fitToWidth="1" horizontalDpi="600" verticalDpi="600" orientation="portrait" scale="77"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M72"/>
  <sheetViews>
    <sheetView zoomScalePageLayoutView="0" workbookViewId="0" topLeftCell="A1">
      <selection activeCell="B39" sqref="B39"/>
    </sheetView>
  </sheetViews>
  <sheetFormatPr defaultColWidth="9.140625" defaultRowHeight="12.75"/>
  <cols>
    <col min="1" max="1" width="9.28125" style="3" customWidth="1"/>
    <col min="2" max="2" width="14.140625" style="16" customWidth="1"/>
    <col min="3" max="3" width="10.8515625" style="16" customWidth="1"/>
    <col min="4" max="4" width="14.140625" style="16" customWidth="1"/>
    <col min="5" max="5" width="12.7109375" style="16" customWidth="1"/>
    <col min="6" max="6" width="8.8515625" style="17" customWidth="1"/>
    <col min="7" max="7" width="10.28125" style="16" customWidth="1"/>
    <col min="8" max="8" width="1.421875" style="16" customWidth="1"/>
    <col min="9" max="10" width="11.7109375" style="16" bestFit="1" customWidth="1"/>
    <col min="11" max="12" width="12.8515625" style="16" bestFit="1" customWidth="1"/>
    <col min="13" max="13" width="12.7109375" style="0" customWidth="1"/>
  </cols>
  <sheetData>
    <row r="1" spans="1:12" ht="17.25">
      <c r="A1" s="130" t="s">
        <v>55</v>
      </c>
      <c r="B1" s="130"/>
      <c r="C1" s="130"/>
      <c r="D1" s="130"/>
      <c r="E1" s="130"/>
      <c r="F1" s="130"/>
      <c r="G1" s="130"/>
      <c r="H1" s="130"/>
      <c r="I1" s="130"/>
      <c r="J1" s="130"/>
      <c r="K1" s="130"/>
      <c r="L1" s="130"/>
    </row>
    <row r="2" spans="1:12" ht="15">
      <c r="A2" s="131" t="s">
        <v>0</v>
      </c>
      <c r="B2" s="131"/>
      <c r="C2" s="131"/>
      <c r="D2" s="131"/>
      <c r="E2" s="131"/>
      <c r="F2" s="131"/>
      <c r="G2" s="131"/>
      <c r="H2" s="131"/>
      <c r="I2" s="131"/>
      <c r="J2" s="131"/>
      <c r="K2" s="131"/>
      <c r="L2" s="131"/>
    </row>
    <row r="3" spans="1:12" s="1" customFormat="1" ht="15">
      <c r="A3" s="131" t="s">
        <v>1</v>
      </c>
      <c r="B3" s="131"/>
      <c r="C3" s="131"/>
      <c r="D3" s="131"/>
      <c r="E3" s="131"/>
      <c r="F3" s="131"/>
      <c r="G3" s="131"/>
      <c r="H3" s="131"/>
      <c r="I3" s="131"/>
      <c r="J3" s="131"/>
      <c r="K3" s="131"/>
      <c r="L3" s="131"/>
    </row>
    <row r="4" spans="1:12" s="1" customFormat="1" ht="15">
      <c r="A4" s="112" t="s">
        <v>91</v>
      </c>
      <c r="B4" s="112"/>
      <c r="C4" s="112"/>
      <c r="D4" s="112"/>
      <c r="E4" s="112"/>
      <c r="F4" s="112"/>
      <c r="G4" s="112"/>
      <c r="H4" s="112"/>
      <c r="I4" s="112"/>
      <c r="J4" s="112"/>
      <c r="K4" s="112"/>
      <c r="L4" s="112"/>
    </row>
    <row r="5" spans="1:12" s="1" customFormat="1" ht="13.5">
      <c r="A5" s="132" t="s">
        <v>3</v>
      </c>
      <c r="B5" s="132"/>
      <c r="C5" s="132"/>
      <c r="D5" s="132"/>
      <c r="E5" s="132"/>
      <c r="F5" s="132"/>
      <c r="G5" s="132"/>
      <c r="H5" s="132"/>
      <c r="I5" s="132"/>
      <c r="J5" s="132"/>
      <c r="K5" s="132"/>
      <c r="L5" s="132"/>
    </row>
    <row r="6" spans="1:12" s="1" customFormat="1" ht="13.5">
      <c r="A6" s="2"/>
      <c r="B6" s="2"/>
      <c r="C6" s="2"/>
      <c r="D6" s="2"/>
      <c r="E6" s="2"/>
      <c r="F6" s="2"/>
      <c r="G6" s="2"/>
      <c r="H6" s="2"/>
      <c r="I6" s="2"/>
      <c r="J6" s="2"/>
      <c r="K6" s="2"/>
      <c r="L6" s="2"/>
    </row>
    <row r="7" spans="1:12" s="1" customFormat="1" ht="12.75">
      <c r="A7" s="3"/>
      <c r="B7" s="4"/>
      <c r="C7" s="4"/>
      <c r="D7" s="4"/>
      <c r="E7" s="5"/>
      <c r="F7" s="6"/>
      <c r="G7" s="5"/>
      <c r="H7" s="5"/>
      <c r="I7" s="5"/>
      <c r="J7" s="5"/>
      <c r="K7" s="5"/>
      <c r="L7" s="5"/>
    </row>
    <row r="8" spans="1:12" s="7" customFormat="1" ht="14.25" customHeight="1">
      <c r="A8" s="123" t="s">
        <v>95</v>
      </c>
      <c r="B8" s="124"/>
      <c r="C8" s="124"/>
      <c r="D8" s="124"/>
      <c r="E8" s="124"/>
      <c r="F8" s="124"/>
      <c r="G8" s="124"/>
      <c r="H8" s="124"/>
      <c r="I8" s="124"/>
      <c r="J8" s="124"/>
      <c r="K8" s="124"/>
      <c r="L8" s="125"/>
    </row>
    <row r="9" spans="1:12" s="1" customFormat="1" ht="9" customHeight="1">
      <c r="A9" s="3"/>
      <c r="B9" s="4"/>
      <c r="C9" s="4"/>
      <c r="D9" s="4"/>
      <c r="E9" s="5"/>
      <c r="F9" s="6"/>
      <c r="G9" s="5"/>
      <c r="H9" s="5"/>
      <c r="I9" s="5"/>
      <c r="J9" s="5"/>
      <c r="K9" s="5"/>
      <c r="L9" s="5"/>
    </row>
    <row r="10" spans="1:12" s="1" customFormat="1" ht="12.75">
      <c r="A10" s="3"/>
      <c r="B10" s="5"/>
      <c r="C10" s="5"/>
      <c r="D10" s="5"/>
      <c r="E10" s="5"/>
      <c r="F10" s="6"/>
      <c r="G10" s="5"/>
      <c r="H10" s="5"/>
      <c r="I10" s="122" t="s">
        <v>5</v>
      </c>
      <c r="J10" s="122"/>
      <c r="K10" s="122"/>
      <c r="L10" s="122"/>
    </row>
    <row r="11" spans="1:12" s="1" customFormat="1" ht="12" customHeight="1">
      <c r="A11" s="3"/>
      <c r="B11" s="5"/>
      <c r="C11" s="10"/>
      <c r="D11" s="5"/>
      <c r="E11" s="5"/>
      <c r="F11" s="6"/>
      <c r="G11" s="5"/>
      <c r="H11" s="5"/>
      <c r="I11" s="5"/>
      <c r="J11" s="5"/>
      <c r="K11" s="5"/>
      <c r="L11" s="5"/>
    </row>
    <row r="12" spans="1:12" s="12" customFormat="1" ht="12">
      <c r="A12" s="9"/>
      <c r="B12" s="10" t="s">
        <v>6</v>
      </c>
      <c r="C12" s="10" t="s">
        <v>61</v>
      </c>
      <c r="D12" s="10" t="s">
        <v>6</v>
      </c>
      <c r="E12" s="10"/>
      <c r="F12" s="11" t="s">
        <v>7</v>
      </c>
      <c r="G12" s="10" t="s">
        <v>8</v>
      </c>
      <c r="H12" s="10"/>
      <c r="I12" s="10" t="s">
        <v>9</v>
      </c>
      <c r="J12" s="10" t="s">
        <v>74</v>
      </c>
      <c r="K12" s="10" t="s">
        <v>10</v>
      </c>
      <c r="L12" s="10" t="s">
        <v>75</v>
      </c>
    </row>
    <row r="13" spans="1:12" s="12" customFormat="1" ht="12">
      <c r="A13" s="13" t="s">
        <v>11</v>
      </c>
      <c r="B13" s="8" t="s">
        <v>12</v>
      </c>
      <c r="C13" s="8" t="s">
        <v>19</v>
      </c>
      <c r="D13" s="8" t="s">
        <v>13</v>
      </c>
      <c r="E13" s="8" t="s">
        <v>14</v>
      </c>
      <c r="F13" s="14" t="s">
        <v>15</v>
      </c>
      <c r="G13" s="8" t="s">
        <v>16</v>
      </c>
      <c r="H13" s="15"/>
      <c r="I13" s="8" t="s">
        <v>17</v>
      </c>
      <c r="J13" s="8" t="s">
        <v>18</v>
      </c>
      <c r="K13" s="8" t="s">
        <v>19</v>
      </c>
      <c r="L13" s="8" t="s">
        <v>76</v>
      </c>
    </row>
    <row r="15" spans="1:12" ht="12.75">
      <c r="A15" s="3">
        <v>41730</v>
      </c>
      <c r="B15" s="16">
        <v>69451271.41</v>
      </c>
      <c r="C15" s="16">
        <f>729597.15-384111</f>
        <v>345486.15</v>
      </c>
      <c r="D15" s="16">
        <f aca="true" t="shared" si="0" ref="D15:D26">+B15-C15-E15</f>
        <v>64142213.30999999</v>
      </c>
      <c r="E15" s="16">
        <v>4963571.95</v>
      </c>
      <c r="F15" s="17">
        <f>33300/30</f>
        <v>1110</v>
      </c>
      <c r="G15" s="16">
        <f>E15/F15/30</f>
        <v>149.0562147147147</v>
      </c>
      <c r="I15" s="16">
        <v>1935793.09</v>
      </c>
      <c r="J15" s="16">
        <v>2035064.49</v>
      </c>
      <c r="K15" s="16">
        <v>496357.2</v>
      </c>
      <c r="L15" s="16">
        <v>496357.2</v>
      </c>
    </row>
    <row r="16" spans="1:12" ht="12.75">
      <c r="A16" s="3">
        <v>41760</v>
      </c>
      <c r="B16" s="16">
        <v>80556748.57</v>
      </c>
      <c r="C16" s="16">
        <f>949515.43-51776</f>
        <v>897739.43</v>
      </c>
      <c r="D16" s="16">
        <f t="shared" si="0"/>
        <v>74250325.20999998</v>
      </c>
      <c r="E16" s="16">
        <v>5408683.93</v>
      </c>
      <c r="F16" s="17">
        <f>34410/31</f>
        <v>1110</v>
      </c>
      <c r="G16" s="16">
        <f>E16/F16/31</f>
        <v>157.1834911362976</v>
      </c>
      <c r="I16" s="16">
        <v>2109386.75</v>
      </c>
      <c r="J16" s="16">
        <v>2217560.4</v>
      </c>
      <c r="K16" s="16">
        <v>540868.4</v>
      </c>
      <c r="L16" s="16">
        <v>540868.4</v>
      </c>
    </row>
    <row r="17" spans="1:12" ht="12.75">
      <c r="A17" s="3">
        <v>41791</v>
      </c>
      <c r="B17" s="16">
        <v>73143665.64</v>
      </c>
      <c r="C17" s="16">
        <v>786226.83</v>
      </c>
      <c r="D17" s="16">
        <f t="shared" si="0"/>
        <v>67530575.08</v>
      </c>
      <c r="E17" s="16">
        <v>4826863.73</v>
      </c>
      <c r="F17" s="17">
        <f>33300/30</f>
        <v>1110</v>
      </c>
      <c r="G17" s="16">
        <f>E17/F17/30</f>
        <v>144.9508627627628</v>
      </c>
      <c r="I17" s="16">
        <v>1882476.86</v>
      </c>
      <c r="J17" s="16">
        <v>1979014.13</v>
      </c>
      <c r="K17" s="16">
        <v>482686.4</v>
      </c>
      <c r="L17" s="16">
        <v>482686.4</v>
      </c>
    </row>
    <row r="18" spans="1:12" ht="12.75">
      <c r="A18" s="3">
        <v>41821</v>
      </c>
      <c r="B18" s="16">
        <v>80949945.97</v>
      </c>
      <c r="C18" s="16">
        <f>818119.59-127899</f>
        <v>690220.59</v>
      </c>
      <c r="D18" s="16">
        <f t="shared" si="0"/>
        <v>74554279.27</v>
      </c>
      <c r="E18" s="16">
        <v>5705446.11</v>
      </c>
      <c r="F18" s="17">
        <f>34410/31</f>
        <v>1110</v>
      </c>
      <c r="G18" s="16">
        <f>E18/F18/31</f>
        <v>165.80779163034003</v>
      </c>
      <c r="I18" s="16">
        <v>2225124</v>
      </c>
      <c r="J18" s="16">
        <v>2339232.91</v>
      </c>
      <c r="K18" s="16">
        <v>570544.62</v>
      </c>
      <c r="L18" s="16">
        <v>570544.62</v>
      </c>
    </row>
    <row r="19" spans="1:12" ht="12.75">
      <c r="A19" s="3">
        <v>41852</v>
      </c>
      <c r="B19" s="16">
        <v>87110590.55</v>
      </c>
      <c r="C19" s="16">
        <f>1045997.54-52806</f>
        <v>993191.54</v>
      </c>
      <c r="D19" s="16">
        <f t="shared" si="0"/>
        <v>80329705.05999999</v>
      </c>
      <c r="E19" s="16">
        <v>5787693.95</v>
      </c>
      <c r="F19" s="17">
        <f>34410/31</f>
        <v>1110</v>
      </c>
      <c r="G19" s="16">
        <f>E19/F19/31</f>
        <v>168.19802237721595</v>
      </c>
      <c r="I19" s="16">
        <v>2257200.63</v>
      </c>
      <c r="J19" s="16">
        <v>2372954.52</v>
      </c>
      <c r="K19" s="16">
        <v>578769.4</v>
      </c>
      <c r="L19" s="16">
        <v>578769.4</v>
      </c>
    </row>
    <row r="20" spans="1:12" ht="12.75">
      <c r="A20" s="3">
        <v>41883</v>
      </c>
      <c r="B20" s="16">
        <v>70961175.5</v>
      </c>
      <c r="C20" s="16">
        <f>837590.45-54368</f>
        <v>783222.45</v>
      </c>
      <c r="D20" s="16">
        <f t="shared" si="0"/>
        <v>65213765.39</v>
      </c>
      <c r="E20" s="16">
        <v>4964187.66</v>
      </c>
      <c r="F20" s="17">
        <f>33300/30</f>
        <v>1110</v>
      </c>
      <c r="G20" s="16">
        <f>E20/F20/30</f>
        <v>149.07470450450452</v>
      </c>
      <c r="I20" s="16">
        <v>1936033.16</v>
      </c>
      <c r="J20" s="16">
        <v>2035316.95</v>
      </c>
      <c r="K20" s="16">
        <v>496418.79</v>
      </c>
      <c r="L20" s="16">
        <v>496418.78</v>
      </c>
    </row>
    <row r="21" spans="1:12" ht="12.75">
      <c r="A21" s="3">
        <v>41913</v>
      </c>
      <c r="B21" s="16">
        <v>70520377.31</v>
      </c>
      <c r="C21" s="16">
        <f>885614.26-778450</f>
        <v>107164.26000000001</v>
      </c>
      <c r="D21" s="16">
        <f t="shared" si="0"/>
        <v>64806885.8</v>
      </c>
      <c r="E21" s="16">
        <v>5606327.25</v>
      </c>
      <c r="F21" s="17">
        <f>34410/31</f>
        <v>1110</v>
      </c>
      <c r="G21" s="16">
        <f>E21/F21/31</f>
        <v>162.92726678291194</v>
      </c>
      <c r="I21" s="16">
        <v>2186467.64</v>
      </c>
      <c r="J21" s="16">
        <v>2298594.18</v>
      </c>
      <c r="K21" s="16">
        <v>560632.73</v>
      </c>
      <c r="L21" s="16">
        <v>560632.73</v>
      </c>
    </row>
    <row r="22" spans="1:12" ht="12.75">
      <c r="A22" s="3">
        <v>41944</v>
      </c>
      <c r="B22" s="16">
        <v>66788024.93</v>
      </c>
      <c r="C22" s="16">
        <f>877905.15-78146</f>
        <v>799759.15</v>
      </c>
      <c r="D22" s="16">
        <f t="shared" si="0"/>
        <v>61392614.410000004</v>
      </c>
      <c r="E22" s="16">
        <v>4595651.37</v>
      </c>
      <c r="F22" s="17">
        <f>33300/30</f>
        <v>1110</v>
      </c>
      <c r="G22" s="16">
        <f>E22/F22/30</f>
        <v>138.00754864864865</v>
      </c>
      <c r="I22" s="16">
        <v>1792304.04</v>
      </c>
      <c r="J22" s="16">
        <v>1884217.05</v>
      </c>
      <c r="K22" s="16">
        <v>459565.15</v>
      </c>
      <c r="L22" s="16">
        <v>459565.15</v>
      </c>
    </row>
    <row r="23" spans="1:12" ht="12.75">
      <c r="A23" s="3">
        <v>41974</v>
      </c>
      <c r="B23" s="16">
        <v>61959225.16</v>
      </c>
      <c r="C23" s="16">
        <f>813862.79-85100</f>
        <v>728762.79</v>
      </c>
      <c r="D23" s="16">
        <f t="shared" si="0"/>
        <v>57077403.70999999</v>
      </c>
      <c r="E23" s="16">
        <v>4153058.66</v>
      </c>
      <c r="F23" s="17">
        <f>34410/31</f>
        <v>1110</v>
      </c>
      <c r="G23" s="16">
        <f>E23/F23/31</f>
        <v>120.69336413833189</v>
      </c>
      <c r="I23" s="16">
        <v>1619692.87</v>
      </c>
      <c r="J23" s="16">
        <v>1702754.04</v>
      </c>
      <c r="K23" s="16">
        <v>415305.89</v>
      </c>
      <c r="L23" s="16">
        <v>415305.89</v>
      </c>
    </row>
    <row r="24" spans="1:12" ht="12.75">
      <c r="A24" s="3">
        <v>42005</v>
      </c>
      <c r="B24" s="16">
        <v>59184323.2</v>
      </c>
      <c r="C24" s="16">
        <f>814335.95-103555</f>
        <v>710780.95</v>
      </c>
      <c r="D24" s="16">
        <f t="shared" si="0"/>
        <v>54525490.19</v>
      </c>
      <c r="E24" s="16">
        <v>3948052.06</v>
      </c>
      <c r="F24" s="17">
        <f>34410/31</f>
        <v>1110</v>
      </c>
      <c r="G24" s="16">
        <f>E24/F24/31</f>
        <v>114.73560185992444</v>
      </c>
      <c r="I24" s="16">
        <v>1539740.31</v>
      </c>
      <c r="J24" s="16">
        <v>1618701.36</v>
      </c>
      <c r="K24" s="16">
        <v>394805.2</v>
      </c>
      <c r="L24" s="16">
        <v>394805.2</v>
      </c>
    </row>
    <row r="25" spans="1:12" ht="12.75">
      <c r="A25" s="3">
        <v>42036</v>
      </c>
      <c r="B25" s="16">
        <v>56452139.38</v>
      </c>
      <c r="C25" s="16">
        <f>757271.35-44740</f>
        <v>712531.35</v>
      </c>
      <c r="D25" s="16">
        <f t="shared" si="0"/>
        <v>52004857.13</v>
      </c>
      <c r="E25" s="16">
        <v>3734750.9</v>
      </c>
      <c r="F25" s="17">
        <v>1110</v>
      </c>
      <c r="G25" s="16">
        <f>E25/F25/28</f>
        <v>120.16573037323037</v>
      </c>
      <c r="I25" s="16">
        <v>1456552.85</v>
      </c>
      <c r="J25" s="16">
        <v>1531247.87</v>
      </c>
      <c r="K25" s="16">
        <v>373475.1</v>
      </c>
      <c r="L25" s="16">
        <v>373475.1</v>
      </c>
    </row>
    <row r="26" spans="1:12" ht="12.75">
      <c r="A26" s="3">
        <v>42064</v>
      </c>
      <c r="B26" s="16">
        <v>71135335.18</v>
      </c>
      <c r="C26" s="16">
        <f>920392.28-48080</f>
        <v>872312.28</v>
      </c>
      <c r="D26" s="16">
        <f t="shared" si="0"/>
        <v>65416865.410000004</v>
      </c>
      <c r="E26" s="16">
        <v>4846157.49</v>
      </c>
      <c r="F26" s="17">
        <f>34410/31</f>
        <v>1110</v>
      </c>
      <c r="G26" s="16">
        <f>E26/F26/31</f>
        <v>140.83573060156934</v>
      </c>
      <c r="I26" s="16">
        <v>1890001.45</v>
      </c>
      <c r="J26" s="16">
        <v>1986924.56</v>
      </c>
      <c r="K26" s="16">
        <v>484615.77</v>
      </c>
      <c r="L26" s="16">
        <v>484615.77</v>
      </c>
    </row>
    <row r="27" spans="1:12" ht="13.5" thickBot="1">
      <c r="A27" s="3" t="s">
        <v>20</v>
      </c>
      <c r="B27" s="18">
        <f>SUM(B15:B26)</f>
        <v>848212822.8</v>
      </c>
      <c r="C27" s="18">
        <f>SUM(C15:C26)</f>
        <v>8427397.77</v>
      </c>
      <c r="D27" s="18">
        <f>SUM(D15:D26)</f>
        <v>781244979.97</v>
      </c>
      <c r="E27" s="18">
        <f>SUM(E15:E26)</f>
        <v>58540445.06</v>
      </c>
      <c r="I27" s="18">
        <f>SUM(I15:I26)</f>
        <v>22830773.650000002</v>
      </c>
      <c r="J27" s="18">
        <f>SUM(J15:J26)</f>
        <v>24001582.459999997</v>
      </c>
      <c r="K27" s="18">
        <f>SUM(K15:K26)</f>
        <v>5854044.65</v>
      </c>
      <c r="L27" s="18">
        <f>SUM(L15:L26)</f>
        <v>5854044.639999999</v>
      </c>
    </row>
    <row r="28" spans="2:12" ht="10.5" customHeight="1" thickTop="1">
      <c r="B28" s="19"/>
      <c r="C28" s="19"/>
      <c r="D28" s="19"/>
      <c r="E28" s="19"/>
      <c r="I28" s="19"/>
      <c r="J28" s="19"/>
      <c r="K28" s="19"/>
      <c r="L28" s="19"/>
    </row>
    <row r="29" spans="1:12" s="22" customFormat="1" ht="12.75">
      <c r="A29" s="20"/>
      <c r="B29" s="21"/>
      <c r="C29" s="21">
        <f>C27/B27</f>
        <v>0.009935475559283187</v>
      </c>
      <c r="D29" s="21">
        <f>D27/B27</f>
        <v>0.9210483017588261</v>
      </c>
      <c r="E29" s="21">
        <f>E27/B27</f>
        <v>0.06901622268189082</v>
      </c>
      <c r="I29" s="21">
        <f>I27/$E$27</f>
        <v>0.3900000013084971</v>
      </c>
      <c r="J29" s="21">
        <f>J27/$E$27</f>
        <v>0.4099999997505997</v>
      </c>
      <c r="K29" s="21">
        <f>K27/$E$27</f>
        <v>0.10000000245983781</v>
      </c>
      <c r="L29" s="21">
        <f>L27/$E$27</f>
        <v>0.1000000022890157</v>
      </c>
    </row>
    <row r="31" spans="1:12" s="23" customFormat="1" ht="12.75">
      <c r="A31" s="123" t="s">
        <v>21</v>
      </c>
      <c r="B31" s="124"/>
      <c r="C31" s="124"/>
      <c r="D31" s="124"/>
      <c r="E31" s="124"/>
      <c r="F31" s="124"/>
      <c r="G31" s="124"/>
      <c r="H31" s="124"/>
      <c r="I31" s="124"/>
      <c r="J31" s="124"/>
      <c r="K31" s="124"/>
      <c r="L31" s="125"/>
    </row>
    <row r="32" ht="12.75">
      <c r="A32" s="24"/>
    </row>
    <row r="33" spans="1:12" s="45" customFormat="1" ht="12.75" customHeight="1">
      <c r="A33" s="41" t="s">
        <v>22</v>
      </c>
      <c r="B33" s="42"/>
      <c r="C33" s="43" t="s">
        <v>86</v>
      </c>
      <c r="D33" s="44"/>
      <c r="E33" s="44"/>
      <c r="F33" s="44"/>
      <c r="G33" s="44"/>
      <c r="H33" s="44"/>
      <c r="I33" s="44"/>
      <c r="J33" s="44"/>
      <c r="K33" s="44"/>
      <c r="L33" s="44"/>
    </row>
    <row r="34" spans="1:12" s="45" customFormat="1" ht="12.75" customHeight="1">
      <c r="A34" s="41"/>
      <c r="B34" s="42"/>
      <c r="C34" s="43" t="s">
        <v>87</v>
      </c>
      <c r="D34" s="44"/>
      <c r="E34" s="44"/>
      <c r="F34" s="44"/>
      <c r="G34" s="44"/>
      <c r="H34" s="44"/>
      <c r="I34" s="44"/>
      <c r="J34" s="44"/>
      <c r="K34" s="44"/>
      <c r="L34" s="44"/>
    </row>
    <row r="35" spans="1:13" ht="6" customHeight="1">
      <c r="A35" s="25"/>
      <c r="B35" s="26"/>
      <c r="C35" s="26"/>
      <c r="D35" s="26"/>
      <c r="F35" s="26"/>
      <c r="G35" s="26"/>
      <c r="H35" s="26"/>
      <c r="I35" s="26"/>
      <c r="J35" s="26"/>
      <c r="K35" s="26"/>
      <c r="L35" s="26"/>
      <c r="M35" s="26"/>
    </row>
    <row r="36" spans="1:13" ht="12.75">
      <c r="A36" s="25" t="s">
        <v>89</v>
      </c>
      <c r="B36" s="26"/>
      <c r="C36" s="26" t="s">
        <v>58</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2" s="45" customFormat="1" ht="12.75">
      <c r="A38" s="41" t="s">
        <v>23</v>
      </c>
      <c r="B38" s="42"/>
      <c r="C38" s="43" t="s">
        <v>94</v>
      </c>
      <c r="D38" s="46"/>
      <c r="E38" s="43"/>
      <c r="F38" s="43"/>
      <c r="G38" s="43"/>
      <c r="H38" s="43"/>
      <c r="I38" s="42"/>
      <c r="J38" s="42"/>
      <c r="K38" s="42"/>
      <c r="L38" s="42"/>
    </row>
    <row r="39" spans="1:12" s="45" customFormat="1" ht="6" customHeight="1">
      <c r="A39" s="41"/>
      <c r="B39" s="42"/>
      <c r="C39" s="43"/>
      <c r="D39" s="46"/>
      <c r="E39" s="43"/>
      <c r="F39" s="43"/>
      <c r="G39" s="43"/>
      <c r="H39" s="43"/>
      <c r="I39" s="42"/>
      <c r="J39" s="42"/>
      <c r="K39" s="42"/>
      <c r="L39" s="42"/>
    </row>
    <row r="40" spans="1:12" s="45" customFormat="1" ht="12.75">
      <c r="A40" s="41" t="s">
        <v>25</v>
      </c>
      <c r="B40" s="42"/>
      <c r="C40" s="42" t="s">
        <v>59</v>
      </c>
      <c r="D40" s="46"/>
      <c r="E40" s="47"/>
      <c r="F40" s="42"/>
      <c r="G40" s="42"/>
      <c r="H40" s="42"/>
      <c r="I40" s="42"/>
      <c r="J40" s="42"/>
      <c r="K40" s="42"/>
      <c r="L40" s="42"/>
    </row>
    <row r="41" spans="1:12" s="45" customFormat="1" ht="12.75">
      <c r="A41" s="41"/>
      <c r="B41" s="42"/>
      <c r="C41" s="42" t="s">
        <v>60</v>
      </c>
      <c r="D41" s="46"/>
      <c r="E41" s="47"/>
      <c r="F41" s="42"/>
      <c r="G41" s="42"/>
      <c r="H41" s="42"/>
      <c r="I41" s="42"/>
      <c r="J41" s="42"/>
      <c r="K41" s="42"/>
      <c r="L41" s="42"/>
    </row>
    <row r="42" spans="1:12" s="45" customFormat="1" ht="6" customHeight="1">
      <c r="A42" s="41"/>
      <c r="B42" s="42"/>
      <c r="C42" s="42"/>
      <c r="D42" s="46"/>
      <c r="E42" s="47"/>
      <c r="F42" s="42"/>
      <c r="G42" s="42"/>
      <c r="H42" s="42"/>
      <c r="I42" s="42"/>
      <c r="J42" s="42"/>
      <c r="K42" s="42"/>
      <c r="L42" s="42"/>
    </row>
    <row r="43" spans="1:12" s="45" customFormat="1" ht="12.75">
      <c r="A43" s="41" t="s">
        <v>28</v>
      </c>
      <c r="B43" s="42"/>
      <c r="C43" s="42" t="s">
        <v>29</v>
      </c>
      <c r="D43" s="46"/>
      <c r="E43" s="47"/>
      <c r="F43" s="42"/>
      <c r="G43" s="42"/>
      <c r="H43" s="42"/>
      <c r="I43" s="42"/>
      <c r="J43" s="42"/>
      <c r="K43" s="42"/>
      <c r="L43" s="42"/>
    </row>
    <row r="44" spans="1:12" s="45" customFormat="1" ht="6" customHeight="1">
      <c r="A44" s="41"/>
      <c r="B44" s="42"/>
      <c r="C44" s="42"/>
      <c r="D44" s="46"/>
      <c r="E44" s="47"/>
      <c r="F44" s="42"/>
      <c r="G44" s="42"/>
      <c r="H44" s="42"/>
      <c r="I44" s="42"/>
      <c r="J44" s="42"/>
      <c r="K44" s="42"/>
      <c r="L44" s="42"/>
    </row>
    <row r="45" spans="1:12" s="45" customFormat="1" ht="12.75">
      <c r="A45" s="41" t="s">
        <v>67</v>
      </c>
      <c r="B45" s="42"/>
      <c r="C45" s="42" t="s">
        <v>68</v>
      </c>
      <c r="D45" s="46"/>
      <c r="E45" s="47"/>
      <c r="F45" s="42"/>
      <c r="G45" s="42"/>
      <c r="H45" s="42"/>
      <c r="I45" s="42"/>
      <c r="J45" s="42"/>
      <c r="K45" s="42"/>
      <c r="L45" s="42"/>
    </row>
    <row r="46" spans="1:12" s="45" customFormat="1" ht="12.75">
      <c r="A46" s="41"/>
      <c r="B46" s="42"/>
      <c r="C46" s="42" t="s">
        <v>77</v>
      </c>
      <c r="D46" s="46"/>
      <c r="E46" s="47"/>
      <c r="F46" s="42"/>
      <c r="G46" s="42"/>
      <c r="H46" s="42"/>
      <c r="I46" s="42"/>
      <c r="J46" s="42"/>
      <c r="K46" s="42"/>
      <c r="L46" s="42"/>
    </row>
    <row r="47" spans="1:12" s="45" customFormat="1" ht="12.75">
      <c r="A47" s="41"/>
      <c r="B47" s="42"/>
      <c r="C47" s="42" t="s">
        <v>78</v>
      </c>
      <c r="D47" s="46"/>
      <c r="E47" s="47"/>
      <c r="F47" s="42"/>
      <c r="G47" s="42"/>
      <c r="H47" s="42"/>
      <c r="I47" s="42"/>
      <c r="J47" s="42"/>
      <c r="K47" s="42"/>
      <c r="L47" s="42"/>
    </row>
    <row r="48" spans="1:12" s="45" customFormat="1" ht="6" customHeight="1">
      <c r="A48" s="41"/>
      <c r="B48" s="42"/>
      <c r="C48" s="42"/>
      <c r="D48" s="46"/>
      <c r="E48" s="47"/>
      <c r="F48" s="42"/>
      <c r="G48" s="42"/>
      <c r="H48" s="42"/>
      <c r="I48" s="42"/>
      <c r="J48" s="42"/>
      <c r="K48" s="42"/>
      <c r="L48" s="42"/>
    </row>
    <row r="49" spans="1:12" s="45" customFormat="1" ht="12.75">
      <c r="A49" s="41" t="s">
        <v>30</v>
      </c>
      <c r="B49" s="42"/>
      <c r="C49" s="42" t="s">
        <v>69</v>
      </c>
      <c r="D49" s="46"/>
      <c r="E49" s="47"/>
      <c r="F49" s="42"/>
      <c r="G49" s="42"/>
      <c r="H49" s="42"/>
      <c r="I49" s="42"/>
      <c r="J49" s="42"/>
      <c r="K49" s="42"/>
      <c r="L49" s="42"/>
    </row>
    <row r="50" spans="1:12" s="45" customFormat="1" ht="12.75">
      <c r="A50" s="41"/>
      <c r="B50" s="42"/>
      <c r="C50" s="42" t="s">
        <v>70</v>
      </c>
      <c r="D50" s="46"/>
      <c r="E50" s="47"/>
      <c r="F50" s="42"/>
      <c r="G50" s="42"/>
      <c r="H50" s="42"/>
      <c r="I50" s="42"/>
      <c r="J50" s="42"/>
      <c r="K50" s="42"/>
      <c r="L50" s="42"/>
    </row>
    <row r="51" spans="1:12" s="45" customFormat="1" ht="6" customHeight="1">
      <c r="A51" s="41"/>
      <c r="B51" s="42"/>
      <c r="C51" s="42"/>
      <c r="D51" s="46"/>
      <c r="E51" s="47"/>
      <c r="F51" s="42"/>
      <c r="G51" s="42"/>
      <c r="H51" s="42"/>
      <c r="I51" s="42"/>
      <c r="J51" s="42"/>
      <c r="K51" s="42"/>
      <c r="L51" s="42"/>
    </row>
    <row r="52" spans="1:12" s="45" customFormat="1" ht="12.75">
      <c r="A52" s="41" t="s">
        <v>79</v>
      </c>
      <c r="B52" s="42"/>
      <c r="C52" s="42" t="s">
        <v>72</v>
      </c>
      <c r="D52" s="46"/>
      <c r="E52" s="47"/>
      <c r="F52" s="42"/>
      <c r="G52" s="42"/>
      <c r="H52" s="42"/>
      <c r="I52" s="42"/>
      <c r="J52" s="42"/>
      <c r="K52" s="42"/>
      <c r="L52" s="42"/>
    </row>
    <row r="53" spans="1:12" s="45" customFormat="1" ht="12.75">
      <c r="A53" s="48"/>
      <c r="B53" s="42"/>
      <c r="C53" s="42" t="s">
        <v>73</v>
      </c>
      <c r="D53" s="46"/>
      <c r="E53" s="47"/>
      <c r="F53" s="42"/>
      <c r="G53" s="42"/>
      <c r="H53" s="42"/>
      <c r="I53" s="42"/>
      <c r="J53" s="42"/>
      <c r="K53" s="42"/>
      <c r="L53" s="42"/>
    </row>
    <row r="54" spans="1:12" s="45" customFormat="1" ht="6" customHeight="1">
      <c r="A54" s="49"/>
      <c r="B54" s="50"/>
      <c r="C54" s="50"/>
      <c r="D54" s="50"/>
      <c r="E54" s="51"/>
      <c r="F54" s="50"/>
      <c r="G54" s="50"/>
      <c r="H54" s="50"/>
      <c r="I54" s="50"/>
      <c r="J54" s="50"/>
      <c r="K54" s="50"/>
      <c r="L54" s="50"/>
    </row>
    <row r="55" spans="1:12" ht="12.75">
      <c r="A55" s="28"/>
      <c r="B55" s="29"/>
      <c r="C55" s="29"/>
      <c r="D55" s="29"/>
      <c r="E55" s="29"/>
      <c r="F55" s="30"/>
      <c r="G55" s="29"/>
      <c r="H55" s="29"/>
      <c r="I55" s="29"/>
      <c r="J55" s="29"/>
      <c r="K55" s="29"/>
      <c r="L55" s="29"/>
    </row>
    <row r="56" spans="1:12" s="23" customFormat="1" ht="12.75">
      <c r="A56" s="123" t="s">
        <v>31</v>
      </c>
      <c r="B56" s="124"/>
      <c r="C56" s="124"/>
      <c r="D56" s="124"/>
      <c r="E56" s="124"/>
      <c r="F56" s="124"/>
      <c r="G56" s="124"/>
      <c r="H56" s="124"/>
      <c r="I56" s="124"/>
      <c r="J56" s="124"/>
      <c r="K56" s="124"/>
      <c r="L56" s="125"/>
    </row>
    <row r="57" ht="12.75">
      <c r="A57" s="24"/>
    </row>
    <row r="58" spans="1:12" ht="13.5">
      <c r="A58" s="31"/>
      <c r="E58" s="10" t="s">
        <v>9</v>
      </c>
      <c r="F58" s="122" t="s">
        <v>80</v>
      </c>
      <c r="G58" s="122"/>
      <c r="H58" s="122"/>
      <c r="I58" s="122"/>
      <c r="J58" s="10" t="s">
        <v>10</v>
      </c>
      <c r="K58" s="53" t="s">
        <v>75</v>
      </c>
      <c r="L58" s="10"/>
    </row>
    <row r="59" spans="1:12" ht="12.75">
      <c r="A59" s="34"/>
      <c r="E59" s="8" t="s">
        <v>17</v>
      </c>
      <c r="F59" s="8" t="s">
        <v>81</v>
      </c>
      <c r="G59" s="55" t="s">
        <v>82</v>
      </c>
      <c r="H59" s="35"/>
      <c r="I59" s="8" t="s">
        <v>83</v>
      </c>
      <c r="J59" s="8" t="s">
        <v>19</v>
      </c>
      <c r="K59" s="54" t="s">
        <v>76</v>
      </c>
      <c r="L59" s="15"/>
    </row>
    <row r="60" spans="2:12" ht="12.75">
      <c r="B60" s="38" t="s">
        <v>52</v>
      </c>
      <c r="C60" s="38"/>
      <c r="D60" s="38"/>
      <c r="E60" s="56">
        <v>0.39</v>
      </c>
      <c r="F60" s="56">
        <v>0.31</v>
      </c>
      <c r="G60" s="57">
        <v>0.0875</v>
      </c>
      <c r="H60" s="58"/>
      <c r="I60" s="56">
        <v>0.0125</v>
      </c>
      <c r="J60" s="56">
        <v>0.1</v>
      </c>
      <c r="K60" s="56">
        <v>0.1</v>
      </c>
      <c r="L60" s="39"/>
    </row>
    <row r="61" spans="2:12" ht="12.75">
      <c r="B61" s="38" t="s">
        <v>53</v>
      </c>
      <c r="C61" s="38"/>
      <c r="D61" s="38"/>
      <c r="E61" s="56">
        <v>0.41</v>
      </c>
      <c r="F61" s="56">
        <v>0.31</v>
      </c>
      <c r="G61" s="57">
        <v>0.0875</v>
      </c>
      <c r="H61" s="58"/>
      <c r="I61" s="56">
        <v>0.0125</v>
      </c>
      <c r="J61" s="56">
        <v>0.08</v>
      </c>
      <c r="K61" s="56">
        <v>0.1</v>
      </c>
      <c r="L61" s="39"/>
    </row>
    <row r="62" spans="2:12" ht="12.75">
      <c r="B62" s="38"/>
      <c r="C62" s="38"/>
      <c r="D62" s="38"/>
      <c r="E62" s="26"/>
      <c r="F62" s="27"/>
      <c r="G62" s="39"/>
      <c r="H62" s="26"/>
      <c r="I62" s="39"/>
      <c r="J62" s="39"/>
      <c r="K62" s="39"/>
      <c r="L62" s="39"/>
    </row>
    <row r="63" spans="1:12" s="23" customFormat="1" ht="12.75">
      <c r="A63" s="126" t="s">
        <v>44</v>
      </c>
      <c r="B63" s="127"/>
      <c r="C63" s="127"/>
      <c r="D63" s="127"/>
      <c r="E63" s="127"/>
      <c r="F63" s="127"/>
      <c r="G63" s="127"/>
      <c r="H63" s="127"/>
      <c r="I63" s="127"/>
      <c r="J63" s="127"/>
      <c r="K63" s="127"/>
      <c r="L63" s="128"/>
    </row>
    <row r="64" spans="1:6" ht="12.75">
      <c r="A64" s="24"/>
      <c r="E64"/>
      <c r="F64" s="16"/>
    </row>
    <row r="65" spans="1:12" ht="52.5" customHeight="1">
      <c r="A65" s="121" t="s">
        <v>96</v>
      </c>
      <c r="B65" s="129"/>
      <c r="C65" s="129"/>
      <c r="D65" s="129"/>
      <c r="E65" s="129"/>
      <c r="F65" s="129"/>
      <c r="G65" s="129"/>
      <c r="H65" s="129"/>
      <c r="I65" s="129"/>
      <c r="J65" s="129"/>
      <c r="K65" s="129"/>
      <c r="L65" s="129"/>
    </row>
    <row r="66" spans="1:6" ht="12.75">
      <c r="A66" s="16"/>
      <c r="E66"/>
      <c r="F66" s="16"/>
    </row>
    <row r="67" spans="2:5" ht="12.75">
      <c r="B67" s="24" t="s">
        <v>45</v>
      </c>
      <c r="C67" s="24"/>
      <c r="D67" s="24"/>
      <c r="E67" s="16">
        <v>291204</v>
      </c>
    </row>
    <row r="68" spans="2:5" ht="12.75">
      <c r="B68" s="24" t="s">
        <v>46</v>
      </c>
      <c r="C68" s="24"/>
      <c r="D68" s="24"/>
      <c r="E68" s="16">
        <v>634505</v>
      </c>
    </row>
    <row r="69" spans="2:5" ht="12.75">
      <c r="B69" s="16" t="s">
        <v>47</v>
      </c>
      <c r="E69" s="16">
        <v>308570</v>
      </c>
    </row>
    <row r="70" ht="12.75">
      <c r="E70" s="16" t="s">
        <v>32</v>
      </c>
    </row>
    <row r="72" ht="12.75">
      <c r="A72" s="59" t="s">
        <v>90</v>
      </c>
    </row>
  </sheetData>
  <sheetProtection/>
  <mergeCells count="12">
    <mergeCell ref="I10:L10"/>
    <mergeCell ref="A31:L31"/>
    <mergeCell ref="A56:L56"/>
    <mergeCell ref="F58:I58"/>
    <mergeCell ref="A63:L63"/>
    <mergeCell ref="A65:L65"/>
    <mergeCell ref="A1:L1"/>
    <mergeCell ref="A2:L2"/>
    <mergeCell ref="A3:L3"/>
    <mergeCell ref="A4:L4"/>
    <mergeCell ref="A5:L5"/>
    <mergeCell ref="A8:L8"/>
  </mergeCells>
  <hyperlinks>
    <hyperlink ref="A4" r:id="rId1" display="www.monticellocasinoandraceway.com"/>
  </hyperlinks>
  <printOptions horizontalCentered="1"/>
  <pageMargins left="0.25" right="0.25" top="0.75" bottom="0.5" header="0.5" footer="0.5"/>
  <pageSetup fitToHeight="1" fitToWidth="1" horizontalDpi="600" verticalDpi="600" orientation="portrait" scale="78"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A1:M72"/>
  <sheetViews>
    <sheetView zoomScalePageLayoutView="0" workbookViewId="0" topLeftCell="A1">
      <selection activeCell="B29" sqref="B29"/>
    </sheetView>
  </sheetViews>
  <sheetFormatPr defaultColWidth="9.140625" defaultRowHeight="12.75"/>
  <cols>
    <col min="1" max="1" width="9.28125" style="3" customWidth="1"/>
    <col min="2" max="2" width="14.140625" style="16" customWidth="1"/>
    <col min="3" max="3" width="10.8515625" style="16" customWidth="1"/>
    <col min="4" max="4" width="14.140625" style="16" customWidth="1"/>
    <col min="5" max="5" width="12.7109375" style="16" customWidth="1"/>
    <col min="6" max="6" width="8.8515625" style="17" customWidth="1"/>
    <col min="7" max="7" width="10.28125" style="16" customWidth="1"/>
    <col min="8" max="8" width="1.421875" style="16" customWidth="1"/>
    <col min="9" max="10" width="11.7109375" style="16" bestFit="1" customWidth="1"/>
    <col min="11" max="12" width="12.8515625" style="16" bestFit="1" customWidth="1"/>
    <col min="13" max="13" width="12.7109375" style="0" customWidth="1"/>
  </cols>
  <sheetData>
    <row r="1" spans="1:12" ht="17.25">
      <c r="A1" s="130" t="s">
        <v>55</v>
      </c>
      <c r="B1" s="130"/>
      <c r="C1" s="130"/>
      <c r="D1" s="130"/>
      <c r="E1" s="130"/>
      <c r="F1" s="130"/>
      <c r="G1" s="130"/>
      <c r="H1" s="130"/>
      <c r="I1" s="130"/>
      <c r="J1" s="130"/>
      <c r="K1" s="130"/>
      <c r="L1" s="130"/>
    </row>
    <row r="2" spans="1:12" ht="15">
      <c r="A2" s="131" t="s">
        <v>0</v>
      </c>
      <c r="B2" s="131"/>
      <c r="C2" s="131"/>
      <c r="D2" s="131"/>
      <c r="E2" s="131"/>
      <c r="F2" s="131"/>
      <c r="G2" s="131"/>
      <c r="H2" s="131"/>
      <c r="I2" s="131"/>
      <c r="J2" s="131"/>
      <c r="K2" s="131"/>
      <c r="L2" s="131"/>
    </row>
    <row r="3" spans="1:12" s="1" customFormat="1" ht="15">
      <c r="A3" s="131" t="s">
        <v>1</v>
      </c>
      <c r="B3" s="131"/>
      <c r="C3" s="131"/>
      <c r="D3" s="131"/>
      <c r="E3" s="131"/>
      <c r="F3" s="131"/>
      <c r="G3" s="131"/>
      <c r="H3" s="131"/>
      <c r="I3" s="131"/>
      <c r="J3" s="131"/>
      <c r="K3" s="131"/>
      <c r="L3" s="131"/>
    </row>
    <row r="4" spans="1:12" s="1" customFormat="1" ht="15">
      <c r="A4" s="112" t="s">
        <v>91</v>
      </c>
      <c r="B4" s="112"/>
      <c r="C4" s="112"/>
      <c r="D4" s="112"/>
      <c r="E4" s="112"/>
      <c r="F4" s="112"/>
      <c r="G4" s="112"/>
      <c r="H4" s="112"/>
      <c r="I4" s="112"/>
      <c r="J4" s="112"/>
      <c r="K4" s="112"/>
      <c r="L4" s="112"/>
    </row>
    <row r="5" spans="1:12" s="1" customFormat="1" ht="13.5">
      <c r="A5" s="132" t="s">
        <v>3</v>
      </c>
      <c r="B5" s="132"/>
      <c r="C5" s="132"/>
      <c r="D5" s="132"/>
      <c r="E5" s="132"/>
      <c r="F5" s="132"/>
      <c r="G5" s="132"/>
      <c r="H5" s="132"/>
      <c r="I5" s="132"/>
      <c r="J5" s="132"/>
      <c r="K5" s="132"/>
      <c r="L5" s="132"/>
    </row>
    <row r="6" spans="1:12" s="1" customFormat="1" ht="13.5">
      <c r="A6" s="2"/>
      <c r="B6" s="2"/>
      <c r="C6" s="2"/>
      <c r="D6" s="2"/>
      <c r="E6" s="2"/>
      <c r="F6" s="2"/>
      <c r="G6" s="2"/>
      <c r="H6" s="2"/>
      <c r="I6" s="2"/>
      <c r="J6" s="2"/>
      <c r="K6" s="2"/>
      <c r="L6" s="2"/>
    </row>
    <row r="7" spans="1:12" s="1" customFormat="1" ht="12.75">
      <c r="A7" s="3"/>
      <c r="B7" s="4"/>
      <c r="C7" s="4"/>
      <c r="D7" s="4"/>
      <c r="E7" s="5"/>
      <c r="F7" s="6"/>
      <c r="G7" s="5"/>
      <c r="H7" s="5"/>
      <c r="I7" s="5"/>
      <c r="J7" s="5"/>
      <c r="K7" s="5"/>
      <c r="L7" s="5"/>
    </row>
    <row r="8" spans="1:12" s="7" customFormat="1" ht="14.25" customHeight="1">
      <c r="A8" s="123" t="s">
        <v>92</v>
      </c>
      <c r="B8" s="124"/>
      <c r="C8" s="124"/>
      <c r="D8" s="124"/>
      <c r="E8" s="124"/>
      <c r="F8" s="124"/>
      <c r="G8" s="124"/>
      <c r="H8" s="124"/>
      <c r="I8" s="124"/>
      <c r="J8" s="124"/>
      <c r="K8" s="124"/>
      <c r="L8" s="125"/>
    </row>
    <row r="9" spans="1:12" s="1" customFormat="1" ht="9" customHeight="1">
      <c r="A9" s="3"/>
      <c r="B9" s="4"/>
      <c r="C9" s="4"/>
      <c r="D9" s="4"/>
      <c r="E9" s="5"/>
      <c r="F9" s="6"/>
      <c r="G9" s="5"/>
      <c r="H9" s="5"/>
      <c r="I9" s="5"/>
      <c r="J9" s="5"/>
      <c r="K9" s="5"/>
      <c r="L9" s="5"/>
    </row>
    <row r="10" spans="1:12" s="1" customFormat="1" ht="12.75">
      <c r="A10" s="3"/>
      <c r="B10" s="5"/>
      <c r="C10" s="5"/>
      <c r="D10" s="5"/>
      <c r="E10" s="5"/>
      <c r="F10" s="6"/>
      <c r="G10" s="5"/>
      <c r="H10" s="5"/>
      <c r="I10" s="122" t="s">
        <v>5</v>
      </c>
      <c r="J10" s="122"/>
      <c r="K10" s="122"/>
      <c r="L10" s="122"/>
    </row>
    <row r="11" spans="1:12" s="1" customFormat="1" ht="12" customHeight="1">
      <c r="A11" s="3"/>
      <c r="B11" s="5"/>
      <c r="C11" s="10"/>
      <c r="D11" s="5"/>
      <c r="E11" s="5"/>
      <c r="F11" s="6"/>
      <c r="G11" s="5"/>
      <c r="H11" s="5"/>
      <c r="I11" s="5"/>
      <c r="J11" s="5"/>
      <c r="K11" s="5"/>
      <c r="L11" s="5"/>
    </row>
    <row r="12" spans="1:12" s="12" customFormat="1" ht="12">
      <c r="A12" s="9"/>
      <c r="B12" s="10" t="s">
        <v>6</v>
      </c>
      <c r="C12" s="10" t="s">
        <v>61</v>
      </c>
      <c r="D12" s="10" t="s">
        <v>6</v>
      </c>
      <c r="E12" s="10"/>
      <c r="F12" s="11" t="s">
        <v>7</v>
      </c>
      <c r="G12" s="10" t="s">
        <v>8</v>
      </c>
      <c r="H12" s="10"/>
      <c r="I12" s="10" t="s">
        <v>9</v>
      </c>
      <c r="J12" s="10" t="s">
        <v>74</v>
      </c>
      <c r="K12" s="10" t="s">
        <v>10</v>
      </c>
      <c r="L12" s="10" t="s">
        <v>75</v>
      </c>
    </row>
    <row r="13" spans="1:12" s="12" customFormat="1" ht="12">
      <c r="A13" s="13" t="s">
        <v>11</v>
      </c>
      <c r="B13" s="8" t="s">
        <v>12</v>
      </c>
      <c r="C13" s="8" t="s">
        <v>19</v>
      </c>
      <c r="D13" s="8" t="s">
        <v>13</v>
      </c>
      <c r="E13" s="8" t="s">
        <v>14</v>
      </c>
      <c r="F13" s="14" t="s">
        <v>15</v>
      </c>
      <c r="G13" s="8" t="s">
        <v>16</v>
      </c>
      <c r="H13" s="15"/>
      <c r="I13" s="8" t="s">
        <v>17</v>
      </c>
      <c r="J13" s="8" t="s">
        <v>18</v>
      </c>
      <c r="K13" s="8" t="s">
        <v>19</v>
      </c>
      <c r="L13" s="8" t="s">
        <v>76</v>
      </c>
    </row>
    <row r="15" spans="1:12" ht="12.75">
      <c r="A15" s="3">
        <v>41365</v>
      </c>
      <c r="B15" s="16">
        <v>71589724.38</v>
      </c>
      <c r="C15" s="16">
        <f>709127.23-94470</f>
        <v>614657.23</v>
      </c>
      <c r="D15" s="16">
        <f aca="true" t="shared" si="0" ref="D15:D26">+B15-C15-E15</f>
        <v>65642641.15999999</v>
      </c>
      <c r="E15" s="16">
        <v>5332425.99</v>
      </c>
      <c r="F15" s="17">
        <f>33300/30</f>
        <v>1110</v>
      </c>
      <c r="G15" s="16">
        <f>E15/F15/30</f>
        <v>160.1329126126126</v>
      </c>
      <c r="I15" s="16">
        <v>2079646.16</v>
      </c>
      <c r="J15" s="16">
        <v>2186294.68</v>
      </c>
      <c r="K15" s="16">
        <v>533242.6</v>
      </c>
      <c r="L15" s="16">
        <v>533242.6</v>
      </c>
    </row>
    <row r="16" spans="1:12" ht="12.75">
      <c r="A16" s="3">
        <v>41395</v>
      </c>
      <c r="B16" s="16">
        <v>78800666.29</v>
      </c>
      <c r="C16" s="16">
        <f>850616.06-85530</f>
        <v>765086.06</v>
      </c>
      <c r="D16" s="16">
        <f t="shared" si="0"/>
        <v>72454175.85000001</v>
      </c>
      <c r="E16" s="16">
        <v>5581404.38</v>
      </c>
      <c r="F16" s="17">
        <f>34410/31</f>
        <v>1110</v>
      </c>
      <c r="G16" s="16">
        <f>E16/F16/31</f>
        <v>162.20297529787854</v>
      </c>
      <c r="I16" s="16">
        <v>2176747.67</v>
      </c>
      <c r="J16" s="16">
        <v>2288375.78</v>
      </c>
      <c r="K16" s="16">
        <v>558140.43</v>
      </c>
      <c r="L16" s="16">
        <v>558140.43</v>
      </c>
    </row>
    <row r="17" spans="1:12" ht="12.75">
      <c r="A17" s="3">
        <v>41426</v>
      </c>
      <c r="B17" s="16">
        <v>76745087.5</v>
      </c>
      <c r="C17" s="16">
        <f>850648.71-91499</f>
        <v>759149.71</v>
      </c>
      <c r="D17" s="16">
        <f t="shared" si="0"/>
        <v>70419996.33000001</v>
      </c>
      <c r="E17" s="16">
        <v>5565941.46</v>
      </c>
      <c r="F17" s="17">
        <f>33300/30</f>
        <v>1110</v>
      </c>
      <c r="G17" s="16">
        <f>E17/F17/30</f>
        <v>167.1453891891892</v>
      </c>
      <c r="I17" s="16">
        <v>2170717.14</v>
      </c>
      <c r="J17" s="16">
        <v>2282036.01</v>
      </c>
      <c r="K17" s="16">
        <v>556594.15</v>
      </c>
      <c r="L17" s="16">
        <v>556594.15</v>
      </c>
    </row>
    <row r="18" spans="1:12" ht="12.75">
      <c r="A18" s="3">
        <v>41456</v>
      </c>
      <c r="B18" s="16">
        <v>82697658.33</v>
      </c>
      <c r="C18" s="16">
        <f>931661.49-89326</f>
        <v>842335.49</v>
      </c>
      <c r="D18" s="16">
        <f t="shared" si="0"/>
        <v>75910551.58</v>
      </c>
      <c r="E18" s="16">
        <v>5944771.26</v>
      </c>
      <c r="F18" s="17">
        <f>34410/31</f>
        <v>1110</v>
      </c>
      <c r="G18" s="16">
        <f>E18/F18/31</f>
        <v>172.76289625108978</v>
      </c>
      <c r="I18" s="16">
        <v>2318460.78</v>
      </c>
      <c r="J18" s="16">
        <v>2437356.22</v>
      </c>
      <c r="K18" s="16">
        <v>594477.17</v>
      </c>
      <c r="L18" s="16">
        <v>594477.17</v>
      </c>
    </row>
    <row r="19" spans="1:12" ht="12.75">
      <c r="A19" s="3">
        <v>41487</v>
      </c>
      <c r="B19" s="16">
        <v>84995040.63</v>
      </c>
      <c r="C19" s="16">
        <f>973922.39-93495</f>
        <v>880427.39</v>
      </c>
      <c r="D19" s="16">
        <f t="shared" si="0"/>
        <v>78242843.94</v>
      </c>
      <c r="E19" s="16">
        <v>5871769.3</v>
      </c>
      <c r="F19" s="17">
        <f>34410/31</f>
        <v>1110</v>
      </c>
      <c r="G19" s="16">
        <f>E19/F19/31</f>
        <v>170.6413629758791</v>
      </c>
      <c r="I19" s="16">
        <v>2289990.01</v>
      </c>
      <c r="J19" s="16">
        <v>2407425.43</v>
      </c>
      <c r="K19" s="16">
        <v>587176.95</v>
      </c>
      <c r="L19" s="16">
        <v>587176.95</v>
      </c>
    </row>
    <row r="20" spans="1:12" ht="12.75">
      <c r="A20" s="3">
        <v>41518</v>
      </c>
      <c r="B20" s="16">
        <v>73690350.47</v>
      </c>
      <c r="C20" s="16">
        <f>870832.94-82413</f>
        <v>788419.94</v>
      </c>
      <c r="D20" s="16">
        <f t="shared" si="0"/>
        <v>67685467.65</v>
      </c>
      <c r="E20" s="16">
        <v>5216462.88</v>
      </c>
      <c r="F20" s="17">
        <f>33300/30</f>
        <v>1110</v>
      </c>
      <c r="G20" s="16">
        <f>E20/F20/30</f>
        <v>156.65053693693693</v>
      </c>
      <c r="I20" s="16">
        <v>2034420.51</v>
      </c>
      <c r="J20" s="16">
        <v>2138749.8</v>
      </c>
      <c r="K20" s="16">
        <v>521646.28</v>
      </c>
      <c r="L20" s="16">
        <v>521646.28</v>
      </c>
    </row>
    <row r="21" spans="1:12" ht="12.75">
      <c r="A21" s="3">
        <v>41548</v>
      </c>
      <c r="B21" s="16">
        <v>67975495.2</v>
      </c>
      <c r="C21" s="16">
        <f>771446.09-1360626</f>
        <v>-589179.91</v>
      </c>
      <c r="D21" s="16">
        <f t="shared" si="0"/>
        <v>62429009.23</v>
      </c>
      <c r="E21" s="16">
        <v>6135665.88</v>
      </c>
      <c r="F21" s="17">
        <f>34410/31</f>
        <v>1110</v>
      </c>
      <c r="G21" s="16">
        <f>E21/F21/31</f>
        <v>178.31054577157803</v>
      </c>
      <c r="I21" s="16">
        <v>2392909.7</v>
      </c>
      <c r="J21" s="16">
        <v>2515623.01</v>
      </c>
      <c r="K21" s="16">
        <v>613566.59</v>
      </c>
      <c r="L21" s="16">
        <v>613566.59</v>
      </c>
    </row>
    <row r="22" spans="1:12" ht="12.75">
      <c r="A22" s="3">
        <v>41579</v>
      </c>
      <c r="B22" s="16">
        <v>66315518.19</v>
      </c>
      <c r="C22" s="16">
        <f>796227.66-109170</f>
        <v>687057.66</v>
      </c>
      <c r="D22" s="16">
        <f t="shared" si="0"/>
        <v>60957000.61</v>
      </c>
      <c r="E22" s="16">
        <v>4671459.92</v>
      </c>
      <c r="F22" s="17">
        <f>33300/30</f>
        <v>1110</v>
      </c>
      <c r="G22" s="16">
        <f>E22/F22/30</f>
        <v>140.28408168168167</v>
      </c>
      <c r="I22" s="16">
        <v>1821869.36</v>
      </c>
      <c r="J22" s="16">
        <v>1915298.58</v>
      </c>
      <c r="K22" s="16">
        <v>467146.01</v>
      </c>
      <c r="L22" s="16">
        <v>467146.01</v>
      </c>
    </row>
    <row r="23" spans="1:12" ht="12.75">
      <c r="A23" s="3">
        <v>41609</v>
      </c>
      <c r="B23" s="16">
        <v>58615887.63</v>
      </c>
      <c r="C23" s="16">
        <f>831244.39-63841</f>
        <v>767403.39</v>
      </c>
      <c r="D23" s="16">
        <f t="shared" si="0"/>
        <v>53981317.13</v>
      </c>
      <c r="E23" s="16">
        <v>3867167.11</v>
      </c>
      <c r="F23" s="17">
        <f>34410/31</f>
        <v>1110</v>
      </c>
      <c r="G23" s="16">
        <f>E23/F23/31</f>
        <v>112.38497849462365</v>
      </c>
      <c r="I23" s="16">
        <v>1508195.17</v>
      </c>
      <c r="J23" s="16">
        <v>1585538.49</v>
      </c>
      <c r="K23" s="16">
        <v>386716.75</v>
      </c>
      <c r="L23" s="16">
        <v>386716.75</v>
      </c>
    </row>
    <row r="24" spans="1:12" ht="12.75">
      <c r="A24" s="3">
        <v>41640</v>
      </c>
      <c r="B24" s="16">
        <v>58842361.65</v>
      </c>
      <c r="C24" s="16">
        <f>810217.44-62575</f>
        <v>747642.44</v>
      </c>
      <c r="D24" s="16">
        <f t="shared" si="0"/>
        <v>54268559.7</v>
      </c>
      <c r="E24" s="16">
        <v>3826159.51</v>
      </c>
      <c r="F24" s="17">
        <f>34410/31</f>
        <v>1110</v>
      </c>
      <c r="G24" s="16">
        <f>E24/F24/31</f>
        <v>111.19324353385643</v>
      </c>
      <c r="I24" s="16">
        <v>1492202.22</v>
      </c>
      <c r="J24" s="16">
        <v>1568725.41</v>
      </c>
      <c r="K24" s="16">
        <v>382615.97</v>
      </c>
      <c r="L24" s="16">
        <v>382615.97</v>
      </c>
    </row>
    <row r="25" spans="1:12" ht="12.75">
      <c r="A25" s="3">
        <v>41671</v>
      </c>
      <c r="B25" s="16">
        <v>57510455.14</v>
      </c>
      <c r="C25" s="16">
        <f>699068.05-60635</f>
        <v>638433.05</v>
      </c>
      <c r="D25" s="16">
        <f t="shared" si="0"/>
        <v>52861539.5</v>
      </c>
      <c r="E25" s="16">
        <v>4010482.59</v>
      </c>
      <c r="F25" s="17">
        <v>1110</v>
      </c>
      <c r="G25" s="16">
        <f>E25/F25/28</f>
        <v>129.03740637065636</v>
      </c>
      <c r="I25" s="16">
        <v>1564088.21</v>
      </c>
      <c r="J25" s="16">
        <v>1644297.82</v>
      </c>
      <c r="K25" s="16">
        <v>401048.26</v>
      </c>
      <c r="L25" s="16">
        <v>401048.26</v>
      </c>
    </row>
    <row r="26" spans="1:12" ht="12.75">
      <c r="A26" s="3">
        <v>41699</v>
      </c>
      <c r="B26" s="16">
        <v>76307724.8</v>
      </c>
      <c r="C26" s="16">
        <f>914494.09-56637</f>
        <v>857857.09</v>
      </c>
      <c r="D26" s="16">
        <f t="shared" si="0"/>
        <v>70155602.33</v>
      </c>
      <c r="E26" s="16">
        <v>5294265.38</v>
      </c>
      <c r="F26" s="17">
        <f>34410/31</f>
        <v>1110</v>
      </c>
      <c r="G26" s="16">
        <f>E26/F26/31</f>
        <v>153.85833711130485</v>
      </c>
      <c r="I26" s="16">
        <v>2064763.5</v>
      </c>
      <c r="J26" s="16">
        <v>2170648.8</v>
      </c>
      <c r="K26" s="16">
        <v>529426.57</v>
      </c>
      <c r="L26" s="16">
        <v>529426.57</v>
      </c>
    </row>
    <row r="27" spans="1:12" ht="13.5" thickBot="1">
      <c r="A27" s="3" t="s">
        <v>20</v>
      </c>
      <c r="B27" s="18">
        <f>SUM(B15:B26)</f>
        <v>854085970.2099999</v>
      </c>
      <c r="C27" s="18">
        <f>SUM(C15:C26)</f>
        <v>7759289.54</v>
      </c>
      <c r="D27" s="18">
        <f>SUM(D15:D26)</f>
        <v>785008705.0100001</v>
      </c>
      <c r="E27" s="18">
        <f>SUM(E15:E26)</f>
        <v>61317975.660000004</v>
      </c>
      <c r="I27" s="18">
        <f>SUM(I15:I26)</f>
        <v>23914010.43</v>
      </c>
      <c r="J27" s="18">
        <f>SUM(J15:J26)</f>
        <v>25140370.029999997</v>
      </c>
      <c r="K27" s="18">
        <f>SUM(K15:K26)</f>
        <v>6131797.7299999995</v>
      </c>
      <c r="L27" s="18">
        <f>SUM(L15:L26)</f>
        <v>6131797.7299999995</v>
      </c>
    </row>
    <row r="28" spans="2:12" ht="10.5" customHeight="1" thickTop="1">
      <c r="B28" s="19"/>
      <c r="C28" s="19"/>
      <c r="D28" s="19"/>
      <c r="E28" s="19"/>
      <c r="I28" s="19"/>
      <c r="J28" s="19"/>
      <c r="K28" s="19"/>
      <c r="L28" s="19"/>
    </row>
    <row r="29" spans="1:12" s="22" customFormat="1" ht="12.75">
      <c r="A29" s="20"/>
      <c r="B29" s="21"/>
      <c r="C29" s="21">
        <f>C27/B27</f>
        <v>0.009084904577102667</v>
      </c>
      <c r="D29" s="21">
        <f>D27/B27</f>
        <v>0.919121414460168</v>
      </c>
      <c r="E29" s="21">
        <f>E27/B27</f>
        <v>0.07179368096272948</v>
      </c>
      <c r="I29" s="21">
        <f>I27/$E$27</f>
        <v>0.3899999987377274</v>
      </c>
      <c r="J29" s="21">
        <f>J27/$E$27</f>
        <v>0.4100000001532992</v>
      </c>
      <c r="K29" s="21">
        <f>K27/$E$27</f>
        <v>0.10000000267458274</v>
      </c>
      <c r="L29" s="21">
        <f>L27/$E$27</f>
        <v>0.10000000267458274</v>
      </c>
    </row>
    <row r="31" spans="1:12" s="23" customFormat="1" ht="12.75">
      <c r="A31" s="123" t="s">
        <v>21</v>
      </c>
      <c r="B31" s="124"/>
      <c r="C31" s="124"/>
      <c r="D31" s="124"/>
      <c r="E31" s="124"/>
      <c r="F31" s="124"/>
      <c r="G31" s="124"/>
      <c r="H31" s="124"/>
      <c r="I31" s="124"/>
      <c r="J31" s="124"/>
      <c r="K31" s="124"/>
      <c r="L31" s="125"/>
    </row>
    <row r="32" ht="12.75">
      <c r="A32" s="24"/>
    </row>
    <row r="33" spans="1:12" s="45" customFormat="1" ht="12.75" customHeight="1">
      <c r="A33" s="41" t="s">
        <v>22</v>
      </c>
      <c r="B33" s="42"/>
      <c r="C33" s="43" t="s">
        <v>86</v>
      </c>
      <c r="D33" s="44"/>
      <c r="E33" s="44"/>
      <c r="F33" s="44"/>
      <c r="G33" s="44"/>
      <c r="H33" s="44"/>
      <c r="I33" s="44"/>
      <c r="J33" s="44"/>
      <c r="K33" s="44"/>
      <c r="L33" s="44"/>
    </row>
    <row r="34" spans="1:12" s="45" customFormat="1" ht="12.75" customHeight="1">
      <c r="A34" s="41"/>
      <c r="B34" s="42"/>
      <c r="C34" s="43" t="s">
        <v>87</v>
      </c>
      <c r="D34" s="44"/>
      <c r="E34" s="44"/>
      <c r="F34" s="44"/>
      <c r="G34" s="44"/>
      <c r="H34" s="44"/>
      <c r="I34" s="44"/>
      <c r="J34" s="44"/>
      <c r="K34" s="44"/>
      <c r="L34" s="44"/>
    </row>
    <row r="35" spans="1:13" ht="6" customHeight="1">
      <c r="A35" s="25"/>
      <c r="B35" s="26"/>
      <c r="C35" s="26"/>
      <c r="D35" s="26"/>
      <c r="F35" s="26"/>
      <c r="G35" s="26"/>
      <c r="H35" s="26"/>
      <c r="I35" s="26"/>
      <c r="J35" s="26"/>
      <c r="K35" s="26"/>
      <c r="L35" s="26"/>
      <c r="M35" s="26"/>
    </row>
    <row r="36" spans="1:13" ht="12.75">
      <c r="A36" s="25" t="s">
        <v>89</v>
      </c>
      <c r="B36" s="26"/>
      <c r="C36" s="26" t="s">
        <v>58</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2" s="45" customFormat="1" ht="12.75">
      <c r="A38" s="41" t="s">
        <v>23</v>
      </c>
      <c r="B38" s="42"/>
      <c r="C38" s="43" t="s">
        <v>94</v>
      </c>
      <c r="D38" s="46"/>
      <c r="E38" s="43"/>
      <c r="F38" s="43"/>
      <c r="G38" s="43"/>
      <c r="H38" s="43"/>
      <c r="I38" s="42"/>
      <c r="J38" s="42"/>
      <c r="K38" s="42"/>
      <c r="L38" s="42"/>
    </row>
    <row r="39" spans="1:12" s="45" customFormat="1" ht="6" customHeight="1">
      <c r="A39" s="41"/>
      <c r="B39" s="42"/>
      <c r="C39" s="43"/>
      <c r="D39" s="46"/>
      <c r="E39" s="43"/>
      <c r="F39" s="43"/>
      <c r="G39" s="43"/>
      <c r="H39" s="43"/>
      <c r="I39" s="42"/>
      <c r="J39" s="42"/>
      <c r="K39" s="42"/>
      <c r="L39" s="42"/>
    </row>
    <row r="40" spans="1:12" s="45" customFormat="1" ht="12.75">
      <c r="A40" s="41" t="s">
        <v>25</v>
      </c>
      <c r="B40" s="42"/>
      <c r="C40" s="42" t="s">
        <v>59</v>
      </c>
      <c r="D40" s="46"/>
      <c r="E40" s="47"/>
      <c r="F40" s="42"/>
      <c r="G40" s="42"/>
      <c r="H40" s="42"/>
      <c r="I40" s="42"/>
      <c r="J40" s="42"/>
      <c r="K40" s="42"/>
      <c r="L40" s="42"/>
    </row>
    <row r="41" spans="1:12" s="45" customFormat="1" ht="12.75">
      <c r="A41" s="41"/>
      <c r="B41" s="42"/>
      <c r="C41" s="42" t="s">
        <v>60</v>
      </c>
      <c r="D41" s="46"/>
      <c r="E41" s="47"/>
      <c r="F41" s="42"/>
      <c r="G41" s="42"/>
      <c r="H41" s="42"/>
      <c r="I41" s="42"/>
      <c r="J41" s="42"/>
      <c r="K41" s="42"/>
      <c r="L41" s="42"/>
    </row>
    <row r="42" spans="1:12" s="45" customFormat="1" ht="6" customHeight="1">
      <c r="A42" s="41"/>
      <c r="B42" s="42"/>
      <c r="C42" s="42"/>
      <c r="D42" s="46"/>
      <c r="E42" s="47"/>
      <c r="F42" s="42"/>
      <c r="G42" s="42"/>
      <c r="H42" s="42"/>
      <c r="I42" s="42"/>
      <c r="J42" s="42"/>
      <c r="K42" s="42"/>
      <c r="L42" s="42"/>
    </row>
    <row r="43" spans="1:12" s="45" customFormat="1" ht="12.75">
      <c r="A43" s="41" t="s">
        <v>28</v>
      </c>
      <c r="B43" s="42"/>
      <c r="C43" s="42" t="s">
        <v>29</v>
      </c>
      <c r="D43" s="46"/>
      <c r="E43" s="47"/>
      <c r="F43" s="42"/>
      <c r="G43" s="42"/>
      <c r="H43" s="42"/>
      <c r="I43" s="42"/>
      <c r="J43" s="42"/>
      <c r="K43" s="42"/>
      <c r="L43" s="42"/>
    </row>
    <row r="44" spans="1:12" s="45" customFormat="1" ht="6" customHeight="1">
      <c r="A44" s="41"/>
      <c r="B44" s="42"/>
      <c r="C44" s="42"/>
      <c r="D44" s="46"/>
      <c r="E44" s="47"/>
      <c r="F44" s="42"/>
      <c r="G44" s="42"/>
      <c r="H44" s="42"/>
      <c r="I44" s="42"/>
      <c r="J44" s="42"/>
      <c r="K44" s="42"/>
      <c r="L44" s="42"/>
    </row>
    <row r="45" spans="1:12" s="45" customFormat="1" ht="12.75">
      <c r="A45" s="41" t="s">
        <v>67</v>
      </c>
      <c r="B45" s="42"/>
      <c r="C45" s="42" t="s">
        <v>68</v>
      </c>
      <c r="D45" s="46"/>
      <c r="E45" s="47"/>
      <c r="F45" s="42"/>
      <c r="G45" s="42"/>
      <c r="H45" s="42"/>
      <c r="I45" s="42"/>
      <c r="J45" s="42"/>
      <c r="K45" s="42"/>
      <c r="L45" s="42"/>
    </row>
    <row r="46" spans="1:12" s="45" customFormat="1" ht="12.75">
      <c r="A46" s="41"/>
      <c r="B46" s="42"/>
      <c r="C46" s="42" t="s">
        <v>77</v>
      </c>
      <c r="D46" s="46"/>
      <c r="E46" s="47"/>
      <c r="F46" s="42"/>
      <c r="G46" s="42"/>
      <c r="H46" s="42"/>
      <c r="I46" s="42"/>
      <c r="J46" s="42"/>
      <c r="K46" s="42"/>
      <c r="L46" s="42"/>
    </row>
    <row r="47" spans="1:12" s="45" customFormat="1" ht="12.75">
      <c r="A47" s="41"/>
      <c r="B47" s="42"/>
      <c r="C47" s="42" t="s">
        <v>78</v>
      </c>
      <c r="D47" s="46"/>
      <c r="E47" s="47"/>
      <c r="F47" s="42"/>
      <c r="G47" s="42"/>
      <c r="H47" s="42"/>
      <c r="I47" s="42"/>
      <c r="J47" s="42"/>
      <c r="K47" s="42"/>
      <c r="L47" s="42"/>
    </row>
    <row r="48" spans="1:12" s="45" customFormat="1" ht="6" customHeight="1">
      <c r="A48" s="41"/>
      <c r="B48" s="42"/>
      <c r="C48" s="42"/>
      <c r="D48" s="46"/>
      <c r="E48" s="47"/>
      <c r="F48" s="42"/>
      <c r="G48" s="42"/>
      <c r="H48" s="42"/>
      <c r="I48" s="42"/>
      <c r="J48" s="42"/>
      <c r="K48" s="42"/>
      <c r="L48" s="42"/>
    </row>
    <row r="49" spans="1:12" s="45" customFormat="1" ht="12.75">
      <c r="A49" s="41" t="s">
        <v>30</v>
      </c>
      <c r="B49" s="42"/>
      <c r="C49" s="42" t="s">
        <v>69</v>
      </c>
      <c r="D49" s="46"/>
      <c r="E49" s="47"/>
      <c r="F49" s="42"/>
      <c r="G49" s="42"/>
      <c r="H49" s="42"/>
      <c r="I49" s="42"/>
      <c r="J49" s="42"/>
      <c r="K49" s="42"/>
      <c r="L49" s="42"/>
    </row>
    <row r="50" spans="1:12" s="45" customFormat="1" ht="12.75">
      <c r="A50" s="41"/>
      <c r="B50" s="42"/>
      <c r="C50" s="42" t="s">
        <v>70</v>
      </c>
      <c r="D50" s="46"/>
      <c r="E50" s="47"/>
      <c r="F50" s="42"/>
      <c r="G50" s="42"/>
      <c r="H50" s="42"/>
      <c r="I50" s="42"/>
      <c r="J50" s="42"/>
      <c r="K50" s="42"/>
      <c r="L50" s="42"/>
    </row>
    <row r="51" spans="1:12" s="45" customFormat="1" ht="6" customHeight="1">
      <c r="A51" s="41"/>
      <c r="B51" s="42"/>
      <c r="C51" s="42"/>
      <c r="D51" s="46"/>
      <c r="E51" s="47"/>
      <c r="F51" s="42"/>
      <c r="G51" s="42"/>
      <c r="H51" s="42"/>
      <c r="I51" s="42"/>
      <c r="J51" s="42"/>
      <c r="K51" s="42"/>
      <c r="L51" s="42"/>
    </row>
    <row r="52" spans="1:12" s="45" customFormat="1" ht="12.75">
      <c r="A52" s="41" t="s">
        <v>79</v>
      </c>
      <c r="B52" s="42"/>
      <c r="C52" s="42" t="s">
        <v>72</v>
      </c>
      <c r="D52" s="46"/>
      <c r="E52" s="47"/>
      <c r="F52" s="42"/>
      <c r="G52" s="42"/>
      <c r="H52" s="42"/>
      <c r="I52" s="42"/>
      <c r="J52" s="42"/>
      <c r="K52" s="42"/>
      <c r="L52" s="42"/>
    </row>
    <row r="53" spans="1:12" s="45" customFormat="1" ht="12.75">
      <c r="A53" s="48"/>
      <c r="B53" s="42"/>
      <c r="C53" s="42" t="s">
        <v>73</v>
      </c>
      <c r="D53" s="46"/>
      <c r="E53" s="47"/>
      <c r="F53" s="42"/>
      <c r="G53" s="42"/>
      <c r="H53" s="42"/>
      <c r="I53" s="42"/>
      <c r="J53" s="42"/>
      <c r="K53" s="42"/>
      <c r="L53" s="42"/>
    </row>
    <row r="54" spans="1:12" s="45" customFormat="1" ht="6" customHeight="1">
      <c r="A54" s="49"/>
      <c r="B54" s="50"/>
      <c r="C54" s="50"/>
      <c r="D54" s="50"/>
      <c r="E54" s="51"/>
      <c r="F54" s="50"/>
      <c r="G54" s="50"/>
      <c r="H54" s="50"/>
      <c r="I54" s="50"/>
      <c r="J54" s="50"/>
      <c r="K54" s="50"/>
      <c r="L54" s="50"/>
    </row>
    <row r="55" spans="1:12" ht="12.75">
      <c r="A55" s="28"/>
      <c r="B55" s="29"/>
      <c r="C55" s="29"/>
      <c r="D55" s="29"/>
      <c r="E55" s="29"/>
      <c r="F55" s="30"/>
      <c r="G55" s="29"/>
      <c r="H55" s="29"/>
      <c r="I55" s="29"/>
      <c r="J55" s="29"/>
      <c r="K55" s="29"/>
      <c r="L55" s="29"/>
    </row>
    <row r="56" spans="1:12" s="23" customFormat="1" ht="12.75">
      <c r="A56" s="123" t="s">
        <v>31</v>
      </c>
      <c r="B56" s="124"/>
      <c r="C56" s="124"/>
      <c r="D56" s="124"/>
      <c r="E56" s="124"/>
      <c r="F56" s="124"/>
      <c r="G56" s="124"/>
      <c r="H56" s="124"/>
      <c r="I56" s="124"/>
      <c r="J56" s="124"/>
      <c r="K56" s="124"/>
      <c r="L56" s="125"/>
    </row>
    <row r="57" ht="12.75">
      <c r="A57" s="24"/>
    </row>
    <row r="58" spans="1:12" ht="13.5">
      <c r="A58" s="31"/>
      <c r="E58" s="10" t="s">
        <v>9</v>
      </c>
      <c r="F58" s="122" t="s">
        <v>80</v>
      </c>
      <c r="G58" s="122"/>
      <c r="H58" s="122"/>
      <c r="I58" s="122"/>
      <c r="J58" s="10" t="s">
        <v>10</v>
      </c>
      <c r="K58" s="53" t="s">
        <v>75</v>
      </c>
      <c r="L58" s="10"/>
    </row>
    <row r="59" spans="1:12" ht="12.75">
      <c r="A59" s="34"/>
      <c r="E59" s="8" t="s">
        <v>17</v>
      </c>
      <c r="F59" s="8" t="s">
        <v>81</v>
      </c>
      <c r="G59" s="55" t="s">
        <v>82</v>
      </c>
      <c r="H59" s="35"/>
      <c r="I59" s="8" t="s">
        <v>83</v>
      </c>
      <c r="J59" s="8" t="s">
        <v>19</v>
      </c>
      <c r="K59" s="54" t="s">
        <v>76</v>
      </c>
      <c r="L59" s="15"/>
    </row>
    <row r="60" spans="2:12" ht="12.75">
      <c r="B60" s="38" t="s">
        <v>52</v>
      </c>
      <c r="C60" s="38"/>
      <c r="D60" s="38"/>
      <c r="E60" s="56">
        <v>0.39</v>
      </c>
      <c r="F60" s="56">
        <v>0.31</v>
      </c>
      <c r="G60" s="57">
        <v>0.0875</v>
      </c>
      <c r="H60" s="58"/>
      <c r="I60" s="56">
        <v>0.0125</v>
      </c>
      <c r="J60" s="56">
        <v>0.1</v>
      </c>
      <c r="K60" s="56">
        <v>0.1</v>
      </c>
      <c r="L60" s="39"/>
    </row>
    <row r="61" spans="2:12" ht="12.75">
      <c r="B61" s="38" t="s">
        <v>53</v>
      </c>
      <c r="C61" s="38"/>
      <c r="D61" s="38"/>
      <c r="E61" s="56">
        <v>0.41</v>
      </c>
      <c r="F61" s="56">
        <v>0.31</v>
      </c>
      <c r="G61" s="57">
        <v>0.0875</v>
      </c>
      <c r="H61" s="58"/>
      <c r="I61" s="56">
        <v>0.0125</v>
      </c>
      <c r="J61" s="56">
        <v>0.08</v>
      </c>
      <c r="K61" s="56">
        <v>0.1</v>
      </c>
      <c r="L61" s="39"/>
    </row>
    <row r="62" spans="2:12" ht="12.75">
      <c r="B62" s="38"/>
      <c r="C62" s="38"/>
      <c r="D62" s="38"/>
      <c r="E62" s="26"/>
      <c r="F62" s="27"/>
      <c r="G62" s="39"/>
      <c r="H62" s="26"/>
      <c r="I62" s="39"/>
      <c r="J62" s="39"/>
      <c r="K62" s="39"/>
      <c r="L62" s="39"/>
    </row>
    <row r="63" spans="1:12" s="23" customFormat="1" ht="12.75">
      <c r="A63" s="126" t="s">
        <v>44</v>
      </c>
      <c r="B63" s="127"/>
      <c r="C63" s="127"/>
      <c r="D63" s="127"/>
      <c r="E63" s="127"/>
      <c r="F63" s="127"/>
      <c r="G63" s="127"/>
      <c r="H63" s="127"/>
      <c r="I63" s="127"/>
      <c r="J63" s="127"/>
      <c r="K63" s="127"/>
      <c r="L63" s="128"/>
    </row>
    <row r="64" spans="1:6" ht="12.75">
      <c r="A64" s="24"/>
      <c r="E64"/>
      <c r="F64" s="16"/>
    </row>
    <row r="65" spans="1:12" ht="52.5" customHeight="1">
      <c r="A65" s="121" t="s">
        <v>93</v>
      </c>
      <c r="B65" s="129"/>
      <c r="C65" s="129"/>
      <c r="D65" s="129"/>
      <c r="E65" s="129"/>
      <c r="F65" s="129"/>
      <c r="G65" s="129"/>
      <c r="H65" s="129"/>
      <c r="I65" s="129"/>
      <c r="J65" s="129"/>
      <c r="K65" s="129"/>
      <c r="L65" s="129"/>
    </row>
    <row r="66" spans="1:6" ht="12.75">
      <c r="A66" s="16"/>
      <c r="E66"/>
      <c r="F66" s="16"/>
    </row>
    <row r="67" spans="2:5" ht="12.75">
      <c r="B67" s="24" t="s">
        <v>45</v>
      </c>
      <c r="C67" s="24"/>
      <c r="D67" s="24"/>
      <c r="E67" s="16">
        <v>228803</v>
      </c>
    </row>
    <row r="68" spans="2:5" ht="12.75">
      <c r="B68" s="24" t="s">
        <v>46</v>
      </c>
      <c r="C68" s="24"/>
      <c r="D68" s="24"/>
      <c r="E68" s="16">
        <v>498540</v>
      </c>
    </row>
    <row r="69" spans="2:5" ht="12.75">
      <c r="B69" s="16" t="s">
        <v>47</v>
      </c>
      <c r="E69" s="16">
        <v>242448</v>
      </c>
    </row>
    <row r="70" ht="12.75">
      <c r="E70" s="16" t="s">
        <v>32</v>
      </c>
    </row>
    <row r="72" ht="12.75">
      <c r="A72" s="59" t="s">
        <v>90</v>
      </c>
    </row>
  </sheetData>
  <sheetProtection/>
  <mergeCells count="12">
    <mergeCell ref="I10:L10"/>
    <mergeCell ref="A31:L31"/>
    <mergeCell ref="A56:L56"/>
    <mergeCell ref="F58:I58"/>
    <mergeCell ref="A63:L63"/>
    <mergeCell ref="A65:L65"/>
    <mergeCell ref="A1:L1"/>
    <mergeCell ref="A2:L2"/>
    <mergeCell ref="A3:L3"/>
    <mergeCell ref="A4:L4"/>
    <mergeCell ref="A5:L5"/>
    <mergeCell ref="A8:L8"/>
  </mergeCells>
  <hyperlinks>
    <hyperlink ref="A4" r:id="rId1" display="www.monticellocasinoandraceway.com"/>
  </hyperlinks>
  <printOptions horizontalCentered="1"/>
  <pageMargins left="0.25" right="0.25" top="0.75" bottom="0.5" header="0.5" footer="0.5"/>
  <pageSetup fitToHeight="1" fitToWidth="1" horizontalDpi="600" verticalDpi="600" orientation="portrait" scale="78" r:id="rId3"/>
  <drawing r:id="rId2"/>
</worksheet>
</file>

<file path=xl/worksheets/sheet8.xml><?xml version="1.0" encoding="utf-8"?>
<worksheet xmlns="http://schemas.openxmlformats.org/spreadsheetml/2006/main" xmlns:r="http://schemas.openxmlformats.org/officeDocument/2006/relationships">
  <sheetPr>
    <pageSetUpPr fitToPage="1"/>
  </sheetPr>
  <dimension ref="A1:M72"/>
  <sheetViews>
    <sheetView zoomScalePageLayoutView="0" workbookViewId="0" topLeftCell="A1">
      <selection activeCell="A29" sqref="A29"/>
    </sheetView>
  </sheetViews>
  <sheetFormatPr defaultColWidth="9.140625" defaultRowHeight="12.75"/>
  <cols>
    <col min="1" max="1" width="9.28125" style="3" customWidth="1"/>
    <col min="2" max="2" width="14.140625" style="16" customWidth="1"/>
    <col min="3" max="3" width="10.8515625" style="16" customWidth="1"/>
    <col min="4" max="4" width="14.140625" style="16" customWidth="1"/>
    <col min="5" max="5" width="12.7109375" style="16" customWidth="1"/>
    <col min="6" max="6" width="8.8515625" style="17" customWidth="1"/>
    <col min="7" max="7" width="10.28125" style="16" customWidth="1"/>
    <col min="8" max="8" width="1.421875" style="16" customWidth="1"/>
    <col min="9" max="10" width="11.7109375" style="16" bestFit="1" customWidth="1"/>
    <col min="11" max="12" width="12.8515625" style="16" bestFit="1" customWidth="1"/>
    <col min="13" max="13" width="12.7109375" style="0" customWidth="1"/>
  </cols>
  <sheetData>
    <row r="1" spans="1:12" ht="17.25">
      <c r="A1" s="130" t="s">
        <v>55</v>
      </c>
      <c r="B1" s="130"/>
      <c r="C1" s="130"/>
      <c r="D1" s="130"/>
      <c r="E1" s="130"/>
      <c r="F1" s="130"/>
      <c r="G1" s="130"/>
      <c r="H1" s="130"/>
      <c r="I1" s="130"/>
      <c r="J1" s="130"/>
      <c r="K1" s="130"/>
      <c r="L1" s="130"/>
    </row>
    <row r="2" spans="1:12" ht="15">
      <c r="A2" s="131" t="s">
        <v>0</v>
      </c>
      <c r="B2" s="131"/>
      <c r="C2" s="131"/>
      <c r="D2" s="131"/>
      <c r="E2" s="131"/>
      <c r="F2" s="131"/>
      <c r="G2" s="131"/>
      <c r="H2" s="131"/>
      <c r="I2" s="131"/>
      <c r="J2" s="131"/>
      <c r="K2" s="131"/>
      <c r="L2" s="131"/>
    </row>
    <row r="3" spans="1:12" s="1" customFormat="1" ht="15">
      <c r="A3" s="131" t="s">
        <v>1</v>
      </c>
      <c r="B3" s="131"/>
      <c r="C3" s="131"/>
      <c r="D3" s="131"/>
      <c r="E3" s="131"/>
      <c r="F3" s="131"/>
      <c r="G3" s="131"/>
      <c r="H3" s="131"/>
      <c r="I3" s="131"/>
      <c r="J3" s="131"/>
      <c r="K3" s="131"/>
      <c r="L3" s="131"/>
    </row>
    <row r="4" spans="1:12" s="1" customFormat="1" ht="15">
      <c r="A4" s="112" t="s">
        <v>91</v>
      </c>
      <c r="B4" s="112"/>
      <c r="C4" s="112"/>
      <c r="D4" s="112"/>
      <c r="E4" s="112"/>
      <c r="F4" s="112"/>
      <c r="G4" s="112"/>
      <c r="H4" s="112"/>
      <c r="I4" s="112"/>
      <c r="J4" s="112"/>
      <c r="K4" s="112"/>
      <c r="L4" s="112"/>
    </row>
    <row r="5" spans="1:12" s="1" customFormat="1" ht="13.5">
      <c r="A5" s="132" t="s">
        <v>3</v>
      </c>
      <c r="B5" s="132"/>
      <c r="C5" s="132"/>
      <c r="D5" s="132"/>
      <c r="E5" s="132"/>
      <c r="F5" s="132"/>
      <c r="G5" s="132"/>
      <c r="H5" s="132"/>
      <c r="I5" s="132"/>
      <c r="J5" s="132"/>
      <c r="K5" s="132"/>
      <c r="L5" s="132"/>
    </row>
    <row r="6" spans="1:12" s="1" customFormat="1" ht="13.5">
      <c r="A6" s="2"/>
      <c r="B6" s="2"/>
      <c r="C6" s="2"/>
      <c r="D6" s="2"/>
      <c r="E6" s="2"/>
      <c r="F6" s="2"/>
      <c r="G6" s="2"/>
      <c r="H6" s="2"/>
      <c r="I6" s="2"/>
      <c r="J6" s="2"/>
      <c r="K6" s="2"/>
      <c r="L6" s="2"/>
    </row>
    <row r="7" spans="1:12" s="1" customFormat="1" ht="12.75">
      <c r="A7" s="3"/>
      <c r="B7" s="4"/>
      <c r="C7" s="4"/>
      <c r="D7" s="4"/>
      <c r="E7" s="5"/>
      <c r="F7" s="6"/>
      <c r="G7" s="5"/>
      <c r="H7" s="5"/>
      <c r="I7" s="5"/>
      <c r="J7" s="5"/>
      <c r="K7" s="5"/>
      <c r="L7" s="5"/>
    </row>
    <row r="8" spans="1:12" s="7" customFormat="1" ht="14.25" customHeight="1">
      <c r="A8" s="123" t="s">
        <v>85</v>
      </c>
      <c r="B8" s="124"/>
      <c r="C8" s="124"/>
      <c r="D8" s="124"/>
      <c r="E8" s="124"/>
      <c r="F8" s="124"/>
      <c r="G8" s="124"/>
      <c r="H8" s="124"/>
      <c r="I8" s="124"/>
      <c r="J8" s="124"/>
      <c r="K8" s="124"/>
      <c r="L8" s="125"/>
    </row>
    <row r="9" spans="1:12" s="1" customFormat="1" ht="9" customHeight="1">
      <c r="A9" s="3"/>
      <c r="B9" s="4"/>
      <c r="C9" s="4"/>
      <c r="D9" s="4"/>
      <c r="E9" s="5"/>
      <c r="F9" s="6"/>
      <c r="G9" s="5"/>
      <c r="H9" s="5"/>
      <c r="I9" s="5"/>
      <c r="J9" s="5"/>
      <c r="K9" s="5"/>
      <c r="L9" s="5"/>
    </row>
    <row r="10" spans="1:12" s="1" customFormat="1" ht="12.75">
      <c r="A10" s="3"/>
      <c r="B10" s="5"/>
      <c r="C10" s="5"/>
      <c r="D10" s="5"/>
      <c r="E10" s="5"/>
      <c r="F10" s="6"/>
      <c r="G10" s="5"/>
      <c r="H10" s="5"/>
      <c r="I10" s="122" t="s">
        <v>5</v>
      </c>
      <c r="J10" s="122"/>
      <c r="K10" s="122"/>
      <c r="L10" s="122"/>
    </row>
    <row r="11" spans="1:12" s="1" customFormat="1" ht="12" customHeight="1">
      <c r="A11" s="3"/>
      <c r="B11" s="5"/>
      <c r="C11" s="10"/>
      <c r="D11" s="5"/>
      <c r="E11" s="5"/>
      <c r="F11" s="6"/>
      <c r="G11" s="5"/>
      <c r="H11" s="5"/>
      <c r="I11" s="5"/>
      <c r="J11" s="5"/>
      <c r="K11" s="5"/>
      <c r="L11" s="5"/>
    </row>
    <row r="12" spans="1:12" s="12" customFormat="1" ht="12">
      <c r="A12" s="9"/>
      <c r="B12" s="10" t="s">
        <v>6</v>
      </c>
      <c r="C12" s="10" t="s">
        <v>61</v>
      </c>
      <c r="D12" s="10" t="s">
        <v>6</v>
      </c>
      <c r="E12" s="10"/>
      <c r="F12" s="11" t="s">
        <v>7</v>
      </c>
      <c r="G12" s="10" t="s">
        <v>8</v>
      </c>
      <c r="H12" s="10"/>
      <c r="I12" s="10" t="s">
        <v>9</v>
      </c>
      <c r="J12" s="10" t="s">
        <v>74</v>
      </c>
      <c r="K12" s="10" t="s">
        <v>10</v>
      </c>
      <c r="L12" s="10" t="s">
        <v>75</v>
      </c>
    </row>
    <row r="13" spans="1:12" s="12" customFormat="1" ht="12">
      <c r="A13" s="13" t="s">
        <v>11</v>
      </c>
      <c r="B13" s="8" t="s">
        <v>12</v>
      </c>
      <c r="C13" s="8" t="s">
        <v>19</v>
      </c>
      <c r="D13" s="8" t="s">
        <v>13</v>
      </c>
      <c r="E13" s="8" t="s">
        <v>14</v>
      </c>
      <c r="F13" s="14" t="s">
        <v>15</v>
      </c>
      <c r="G13" s="8" t="s">
        <v>16</v>
      </c>
      <c r="H13" s="15"/>
      <c r="I13" s="8" t="s">
        <v>17</v>
      </c>
      <c r="J13" s="8" t="s">
        <v>18</v>
      </c>
      <c r="K13" s="8" t="s">
        <v>19</v>
      </c>
      <c r="L13" s="8" t="s">
        <v>76</v>
      </c>
    </row>
    <row r="15" spans="1:12" ht="12.75">
      <c r="A15" s="3">
        <v>41000</v>
      </c>
      <c r="B15" s="16">
        <v>75037965.03</v>
      </c>
      <c r="C15" s="16">
        <f>533838.64-513799</f>
        <v>20039.640000000014</v>
      </c>
      <c r="D15" s="16">
        <f aca="true" t="shared" si="0" ref="D15:D26">+B15-C15-E15</f>
        <v>69259641.22</v>
      </c>
      <c r="E15" s="16">
        <v>5758284.17</v>
      </c>
      <c r="F15" s="17">
        <f>33300/30</f>
        <v>1110</v>
      </c>
      <c r="G15" s="16">
        <f>E15/F15/30</f>
        <v>172.92144654654655</v>
      </c>
      <c r="I15" s="16">
        <v>2245730.86</v>
      </c>
      <c r="J15" s="16">
        <v>2360896.55</v>
      </c>
      <c r="K15" s="16">
        <v>575828.42</v>
      </c>
      <c r="L15" s="16">
        <v>575828.42</v>
      </c>
    </row>
    <row r="16" spans="1:12" ht="12.75">
      <c r="A16" s="3">
        <v>41030</v>
      </c>
      <c r="B16" s="16">
        <v>77271480.02</v>
      </c>
      <c r="C16" s="16">
        <f>638927.25-55720</f>
        <v>583207.25</v>
      </c>
      <c r="D16" s="16">
        <f t="shared" si="0"/>
        <v>71142654.07</v>
      </c>
      <c r="E16" s="16">
        <v>5545618.7</v>
      </c>
      <c r="F16" s="17">
        <f>34410/31</f>
        <v>1110</v>
      </c>
      <c r="G16" s="16">
        <f>E16/F16/31</f>
        <v>161.16299622202848</v>
      </c>
      <c r="I16" s="16">
        <v>2162791.29</v>
      </c>
      <c r="J16" s="16">
        <v>2273703.66</v>
      </c>
      <c r="K16" s="16">
        <v>554561.89</v>
      </c>
      <c r="L16" s="16">
        <v>554561.89</v>
      </c>
    </row>
    <row r="17" spans="1:12" ht="12.75">
      <c r="A17" s="3">
        <v>41061</v>
      </c>
      <c r="B17" s="16">
        <v>78972249.31</v>
      </c>
      <c r="C17" s="16">
        <f>766439.68-48960</f>
        <v>717479.68</v>
      </c>
      <c r="D17" s="16">
        <f t="shared" si="0"/>
        <v>72831307.46</v>
      </c>
      <c r="E17" s="16">
        <v>5423462.17</v>
      </c>
      <c r="F17" s="17">
        <f>33300/30</f>
        <v>1110</v>
      </c>
      <c r="G17" s="16">
        <f>E17/F17/30</f>
        <v>162.86673183183183</v>
      </c>
      <c r="I17" s="16">
        <v>2115150.26</v>
      </c>
      <c r="J17" s="16">
        <v>2223619.49</v>
      </c>
      <c r="K17" s="16">
        <v>542346.2</v>
      </c>
      <c r="L17" s="16">
        <v>542346.2</v>
      </c>
    </row>
    <row r="18" spans="1:12" ht="12.75">
      <c r="A18" s="3">
        <v>41091</v>
      </c>
      <c r="B18" s="16">
        <v>83161584.91</v>
      </c>
      <c r="C18" s="16">
        <v>572891.58</v>
      </c>
      <c r="D18" s="16">
        <f t="shared" si="0"/>
        <v>76539399.97</v>
      </c>
      <c r="E18" s="16">
        <v>6049293.36</v>
      </c>
      <c r="F18" s="17">
        <f>34410/31</f>
        <v>1110</v>
      </c>
      <c r="G18" s="16">
        <f>E18/F18/31</f>
        <v>175.80044638186575</v>
      </c>
      <c r="I18" s="16">
        <v>2359224.41</v>
      </c>
      <c r="J18" s="16">
        <v>2480210.29</v>
      </c>
      <c r="K18" s="16">
        <v>604929.36</v>
      </c>
      <c r="L18" s="16">
        <v>604929.36</v>
      </c>
    </row>
    <row r="19" spans="1:12" ht="12.75">
      <c r="A19" s="3">
        <v>41122</v>
      </c>
      <c r="B19" s="16">
        <v>80681210.89</v>
      </c>
      <c r="C19" s="16">
        <f>559534.23-49600</f>
        <v>509934.23</v>
      </c>
      <c r="D19" s="16">
        <f t="shared" si="0"/>
        <v>74299150.53</v>
      </c>
      <c r="E19" s="16">
        <v>5872126.13</v>
      </c>
      <c r="F19" s="17">
        <v>1110</v>
      </c>
      <c r="G19" s="16">
        <f>E19/F19/31</f>
        <v>170.65173292647486</v>
      </c>
      <c r="I19" s="16">
        <v>2290129.21</v>
      </c>
      <c r="J19" s="16">
        <v>2407571.72</v>
      </c>
      <c r="K19" s="16">
        <v>587212.63</v>
      </c>
      <c r="L19" s="16">
        <v>587212.63</v>
      </c>
    </row>
    <row r="20" spans="1:12" ht="12.75">
      <c r="A20" s="3">
        <v>41153</v>
      </c>
      <c r="B20" s="16">
        <v>73359657.01</v>
      </c>
      <c r="C20" s="16">
        <v>585285.44</v>
      </c>
      <c r="D20" s="16">
        <f t="shared" si="0"/>
        <v>67428411.42</v>
      </c>
      <c r="E20" s="16">
        <v>5345960.15</v>
      </c>
      <c r="F20" s="17">
        <f>33300/30</f>
        <v>1110</v>
      </c>
      <c r="G20" s="16">
        <f>E20/F20/30</f>
        <v>160.53934384384385</v>
      </c>
      <c r="I20" s="16">
        <v>2084924.47</v>
      </c>
      <c r="J20" s="16">
        <v>2191843.67</v>
      </c>
      <c r="K20" s="16">
        <v>534596.05</v>
      </c>
      <c r="L20" s="16">
        <v>534596.05</v>
      </c>
    </row>
    <row r="21" spans="1:12" ht="12.75">
      <c r="A21" s="3">
        <v>41183</v>
      </c>
      <c r="B21" s="16">
        <v>66221554.06</v>
      </c>
      <c r="C21" s="16">
        <f>590650.45-523883</f>
        <v>66767.44999999995</v>
      </c>
      <c r="D21" s="16">
        <f t="shared" si="0"/>
        <v>60965181.79</v>
      </c>
      <c r="E21" s="16">
        <v>5189604.82</v>
      </c>
      <c r="F21" s="17">
        <f>34410/31</f>
        <v>1110</v>
      </c>
      <c r="G21" s="16">
        <f>E21/F21/31</f>
        <v>150.81676315024706</v>
      </c>
      <c r="I21" s="16">
        <v>2023945.88</v>
      </c>
      <c r="J21" s="16">
        <v>2127737.97</v>
      </c>
      <c r="K21" s="16">
        <v>518960.49</v>
      </c>
      <c r="L21" s="16">
        <v>518960.49</v>
      </c>
    </row>
    <row r="22" spans="1:12" ht="12.75">
      <c r="A22" s="3">
        <v>41214</v>
      </c>
      <c r="B22" s="16">
        <v>68680116.64</v>
      </c>
      <c r="C22" s="16">
        <f>755437.57-103342</f>
        <v>652095.57</v>
      </c>
      <c r="D22" s="16">
        <f t="shared" si="0"/>
        <v>63065872.330000006</v>
      </c>
      <c r="E22" s="16">
        <v>4962148.74</v>
      </c>
      <c r="F22" s="17">
        <f>33300/30</f>
        <v>1110</v>
      </c>
      <c r="G22" s="16">
        <f>E22/F22/30</f>
        <v>149.0134756756757</v>
      </c>
      <c r="I22" s="16">
        <v>1935238.03</v>
      </c>
      <c r="J22" s="16">
        <v>2034480.98</v>
      </c>
      <c r="K22" s="16">
        <v>496214.88</v>
      </c>
      <c r="L22" s="16">
        <v>496214.88</v>
      </c>
    </row>
    <row r="23" spans="1:12" ht="12.75">
      <c r="A23" s="3">
        <v>41244</v>
      </c>
      <c r="B23" s="16">
        <v>64115129.06</v>
      </c>
      <c r="C23" s="16">
        <f>701589.5-541270</f>
        <v>160319.5</v>
      </c>
      <c r="D23" s="16">
        <f t="shared" si="0"/>
        <v>59040622.760000005</v>
      </c>
      <c r="E23" s="16">
        <v>4914186.8</v>
      </c>
      <c r="F23" s="17">
        <f>34410/31</f>
        <v>1110</v>
      </c>
      <c r="G23" s="16">
        <f>E23/F23/31</f>
        <v>142.81275210694565</v>
      </c>
      <c r="I23" s="16">
        <v>1916532.86</v>
      </c>
      <c r="J23" s="16">
        <v>2014816.6</v>
      </c>
      <c r="K23" s="16">
        <v>491418.7</v>
      </c>
      <c r="L23" s="16">
        <v>491418.7</v>
      </c>
    </row>
    <row r="24" spans="1:12" ht="12.75">
      <c r="A24" s="3">
        <v>41275</v>
      </c>
      <c r="B24" s="16">
        <v>65426508.72</v>
      </c>
      <c r="C24" s="16">
        <f>711579.73-116928</f>
        <v>594651.73</v>
      </c>
      <c r="D24" s="16">
        <f t="shared" si="0"/>
        <v>60265576.300000004</v>
      </c>
      <c r="E24" s="16">
        <v>4566280.69</v>
      </c>
      <c r="F24" s="17">
        <f>34391/31</f>
        <v>1109.3870967741937</v>
      </c>
      <c r="G24" s="16">
        <f>E24/F24/31</f>
        <v>132.77545549707773</v>
      </c>
      <c r="I24" s="16">
        <v>1780849.46</v>
      </c>
      <c r="J24" s="16">
        <v>1872175.05</v>
      </c>
      <c r="K24" s="16">
        <v>456628.09</v>
      </c>
      <c r="L24" s="16">
        <v>456628.09</v>
      </c>
    </row>
    <row r="25" spans="1:12" ht="12.75">
      <c r="A25" s="3">
        <v>41306</v>
      </c>
      <c r="B25" s="16">
        <v>62135860.02</v>
      </c>
      <c r="C25" s="16">
        <f>655915.75-79730</f>
        <v>576185.75</v>
      </c>
      <c r="D25" s="16">
        <f t="shared" si="0"/>
        <v>56971223.85</v>
      </c>
      <c r="E25" s="16">
        <v>4588450.42</v>
      </c>
      <c r="F25" s="17">
        <v>1110</v>
      </c>
      <c r="G25" s="16">
        <f>E25/F25/28</f>
        <v>147.63353989703987</v>
      </c>
      <c r="I25" s="16">
        <v>1789495.69</v>
      </c>
      <c r="J25" s="16">
        <v>1881264.68</v>
      </c>
      <c r="K25" s="16">
        <v>458845.05</v>
      </c>
      <c r="L25" s="16">
        <v>458845.05</v>
      </c>
    </row>
    <row r="26" spans="1:12" ht="12.75">
      <c r="A26" s="3">
        <v>41334</v>
      </c>
      <c r="B26" s="16">
        <v>76148834.87</v>
      </c>
      <c r="C26" s="16">
        <f>785291.4-62380</f>
        <v>722911.4</v>
      </c>
      <c r="D26" s="16">
        <f t="shared" si="0"/>
        <v>69946335.32</v>
      </c>
      <c r="E26" s="16">
        <v>5479588.15</v>
      </c>
      <c r="F26" s="17">
        <f>34410/31</f>
        <v>1110</v>
      </c>
      <c r="G26" s="16">
        <f>E26/F26/31</f>
        <v>159.24406131938392</v>
      </c>
      <c r="I26" s="16">
        <v>2137039.39</v>
      </c>
      <c r="J26" s="16">
        <v>2246631.15</v>
      </c>
      <c r="K26" s="16">
        <v>547958.84</v>
      </c>
      <c r="L26" s="16">
        <v>547958.84</v>
      </c>
    </row>
    <row r="27" spans="1:12" ht="13.5" thickBot="1">
      <c r="A27" s="3" t="s">
        <v>20</v>
      </c>
      <c r="B27" s="18">
        <f>SUM(B15:B26)</f>
        <v>871212150.5400001</v>
      </c>
      <c r="C27" s="18">
        <f>SUM(C15:C26)</f>
        <v>5761769.22</v>
      </c>
      <c r="D27" s="18">
        <f>SUM(D15:D26)</f>
        <v>801755377.02</v>
      </c>
      <c r="E27" s="18">
        <f>SUM(E15:E26)</f>
        <v>63695004.3</v>
      </c>
      <c r="I27" s="18">
        <f>SUM(I15:I26)</f>
        <v>24841051.810000006</v>
      </c>
      <c r="J27" s="18">
        <f>SUM(J15:J26)</f>
        <v>26114951.810000002</v>
      </c>
      <c r="K27" s="18">
        <f>SUM(K15:K26)</f>
        <v>6369500.6</v>
      </c>
      <c r="L27" s="18">
        <f>SUM(L15:L26)</f>
        <v>6369500.6</v>
      </c>
    </row>
    <row r="28" spans="2:12" ht="10.5" customHeight="1" thickTop="1">
      <c r="B28" s="19"/>
      <c r="C28" s="19"/>
      <c r="D28" s="19"/>
      <c r="E28" s="19"/>
      <c r="I28" s="19"/>
      <c r="J28" s="19"/>
      <c r="K28" s="19"/>
      <c r="L28" s="19"/>
    </row>
    <row r="29" spans="1:12" s="22" customFormat="1" ht="12.75">
      <c r="A29" s="20"/>
      <c r="B29" s="21"/>
      <c r="C29" s="21">
        <f>C27/B27</f>
        <v>0.006613508795106571</v>
      </c>
      <c r="D29" s="21">
        <f>D27/B27</f>
        <v>0.9202757061216961</v>
      </c>
      <c r="E29" s="21">
        <f>E27/B27</f>
        <v>0.07311078508319721</v>
      </c>
      <c r="I29" s="21">
        <f>I27/$E$27</f>
        <v>0.39000000208807595</v>
      </c>
      <c r="J29" s="21">
        <f>J27/$E$27</f>
        <v>0.4100000007378915</v>
      </c>
      <c r="K29" s="21">
        <f>K27/$E$27</f>
        <v>0.10000000266896912</v>
      </c>
      <c r="L29" s="21">
        <f>L27/$E$27</f>
        <v>0.10000000266896912</v>
      </c>
    </row>
    <row r="31" spans="1:12" s="23" customFormat="1" ht="12.75">
      <c r="A31" s="123" t="s">
        <v>21</v>
      </c>
      <c r="B31" s="124"/>
      <c r="C31" s="124"/>
      <c r="D31" s="124"/>
      <c r="E31" s="124"/>
      <c r="F31" s="124"/>
      <c r="G31" s="124"/>
      <c r="H31" s="124"/>
      <c r="I31" s="124"/>
      <c r="J31" s="124"/>
      <c r="K31" s="124"/>
      <c r="L31" s="125"/>
    </row>
    <row r="32" ht="12.75">
      <c r="A32" s="24"/>
    </row>
    <row r="33" spans="1:12" s="45" customFormat="1" ht="12.75" customHeight="1">
      <c r="A33" s="41" t="s">
        <v>22</v>
      </c>
      <c r="B33" s="42"/>
      <c r="C33" s="43" t="s">
        <v>86</v>
      </c>
      <c r="D33" s="44"/>
      <c r="E33" s="44"/>
      <c r="F33" s="44"/>
      <c r="G33" s="44"/>
      <c r="H33" s="44"/>
      <c r="I33" s="44"/>
      <c r="J33" s="44"/>
      <c r="K33" s="44"/>
      <c r="L33" s="44"/>
    </row>
    <row r="34" spans="1:12" s="45" customFormat="1" ht="12.75" customHeight="1">
      <c r="A34" s="41"/>
      <c r="B34" s="42"/>
      <c r="C34" s="43" t="s">
        <v>87</v>
      </c>
      <c r="D34" s="44"/>
      <c r="E34" s="44"/>
      <c r="F34" s="44"/>
      <c r="G34" s="44"/>
      <c r="H34" s="44"/>
      <c r="I34" s="44"/>
      <c r="J34" s="44"/>
      <c r="K34" s="44"/>
      <c r="L34" s="44"/>
    </row>
    <row r="35" spans="1:13" ht="6" customHeight="1">
      <c r="A35" s="25"/>
      <c r="B35" s="26"/>
      <c r="C35" s="26"/>
      <c r="D35" s="26"/>
      <c r="F35" s="26"/>
      <c r="G35" s="26"/>
      <c r="H35" s="26"/>
      <c r="I35" s="26"/>
      <c r="J35" s="26"/>
      <c r="K35" s="26"/>
      <c r="L35" s="26"/>
      <c r="M35" s="26"/>
    </row>
    <row r="36" spans="1:13" ht="12.75">
      <c r="A36" s="25" t="s">
        <v>89</v>
      </c>
      <c r="B36" s="26"/>
      <c r="C36" s="26" t="s">
        <v>58</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2" s="45" customFormat="1" ht="12.75">
      <c r="A38" s="41" t="s">
        <v>23</v>
      </c>
      <c r="B38" s="42"/>
      <c r="C38" s="43" t="s">
        <v>24</v>
      </c>
      <c r="D38" s="46"/>
      <c r="E38" s="43"/>
      <c r="F38" s="43"/>
      <c r="G38" s="43"/>
      <c r="H38" s="43"/>
      <c r="I38" s="42"/>
      <c r="J38" s="42"/>
      <c r="K38" s="42"/>
      <c r="L38" s="42"/>
    </row>
    <row r="39" spans="1:12" s="45" customFormat="1" ht="6" customHeight="1">
      <c r="A39" s="41"/>
      <c r="B39" s="42"/>
      <c r="C39" s="43"/>
      <c r="D39" s="46"/>
      <c r="E39" s="43"/>
      <c r="F39" s="43"/>
      <c r="G39" s="43"/>
      <c r="H39" s="43"/>
      <c r="I39" s="42"/>
      <c r="J39" s="42"/>
      <c r="K39" s="42"/>
      <c r="L39" s="42"/>
    </row>
    <row r="40" spans="1:12" s="45" customFormat="1" ht="12.75">
      <c r="A40" s="41" t="s">
        <v>25</v>
      </c>
      <c r="B40" s="42"/>
      <c r="C40" s="42" t="s">
        <v>59</v>
      </c>
      <c r="D40" s="46"/>
      <c r="E40" s="47"/>
      <c r="F40" s="42"/>
      <c r="G40" s="42"/>
      <c r="H40" s="42"/>
      <c r="I40" s="42"/>
      <c r="J40" s="42"/>
      <c r="K40" s="42"/>
      <c r="L40" s="42"/>
    </row>
    <row r="41" spans="1:12" s="45" customFormat="1" ht="12.75">
      <c r="A41" s="41"/>
      <c r="B41" s="42"/>
      <c r="C41" s="42" t="s">
        <v>60</v>
      </c>
      <c r="D41" s="46"/>
      <c r="E41" s="47"/>
      <c r="F41" s="42"/>
      <c r="G41" s="42"/>
      <c r="H41" s="42"/>
      <c r="I41" s="42"/>
      <c r="J41" s="42"/>
      <c r="K41" s="42"/>
      <c r="L41" s="42"/>
    </row>
    <row r="42" spans="1:12" s="45" customFormat="1" ht="6" customHeight="1">
      <c r="A42" s="41"/>
      <c r="B42" s="42"/>
      <c r="C42" s="42"/>
      <c r="D42" s="46"/>
      <c r="E42" s="47"/>
      <c r="F42" s="42"/>
      <c r="G42" s="42"/>
      <c r="H42" s="42"/>
      <c r="I42" s="42"/>
      <c r="J42" s="42"/>
      <c r="K42" s="42"/>
      <c r="L42" s="42"/>
    </row>
    <row r="43" spans="1:12" s="45" customFormat="1" ht="12.75">
      <c r="A43" s="41" t="s">
        <v>28</v>
      </c>
      <c r="B43" s="42"/>
      <c r="C43" s="42" t="s">
        <v>29</v>
      </c>
      <c r="D43" s="46"/>
      <c r="E43" s="47"/>
      <c r="F43" s="42"/>
      <c r="G43" s="42"/>
      <c r="H43" s="42"/>
      <c r="I43" s="42"/>
      <c r="J43" s="42"/>
      <c r="K43" s="42"/>
      <c r="L43" s="42"/>
    </row>
    <row r="44" spans="1:12" s="45" customFormat="1" ht="6" customHeight="1">
      <c r="A44" s="41"/>
      <c r="B44" s="42"/>
      <c r="C44" s="42"/>
      <c r="D44" s="46"/>
      <c r="E44" s="47"/>
      <c r="F44" s="42"/>
      <c r="G44" s="42"/>
      <c r="H44" s="42"/>
      <c r="I44" s="42"/>
      <c r="J44" s="42"/>
      <c r="K44" s="42"/>
      <c r="L44" s="42"/>
    </row>
    <row r="45" spans="1:12" s="45" customFormat="1" ht="12.75">
      <c r="A45" s="41" t="s">
        <v>67</v>
      </c>
      <c r="B45" s="42"/>
      <c r="C45" s="42" t="s">
        <v>68</v>
      </c>
      <c r="D45" s="46"/>
      <c r="E45" s="47"/>
      <c r="F45" s="42"/>
      <c r="G45" s="42"/>
      <c r="H45" s="42"/>
      <c r="I45" s="42"/>
      <c r="J45" s="42"/>
      <c r="K45" s="42"/>
      <c r="L45" s="42"/>
    </row>
    <row r="46" spans="1:12" s="45" customFormat="1" ht="12.75">
      <c r="A46" s="41"/>
      <c r="B46" s="42"/>
      <c r="C46" s="42" t="s">
        <v>77</v>
      </c>
      <c r="D46" s="46"/>
      <c r="E46" s="47"/>
      <c r="F46" s="42"/>
      <c r="G46" s="42"/>
      <c r="H46" s="42"/>
      <c r="I46" s="42"/>
      <c r="J46" s="42"/>
      <c r="K46" s="42"/>
      <c r="L46" s="42"/>
    </row>
    <row r="47" spans="1:12" s="45" customFormat="1" ht="12.75">
      <c r="A47" s="41"/>
      <c r="B47" s="42"/>
      <c r="C47" s="42" t="s">
        <v>78</v>
      </c>
      <c r="D47" s="46"/>
      <c r="E47" s="47"/>
      <c r="F47" s="42"/>
      <c r="G47" s="42"/>
      <c r="H47" s="42"/>
      <c r="I47" s="42"/>
      <c r="J47" s="42"/>
      <c r="K47" s="42"/>
      <c r="L47" s="42"/>
    </row>
    <row r="48" spans="1:12" s="45" customFormat="1" ht="6" customHeight="1">
      <c r="A48" s="41"/>
      <c r="B48" s="42"/>
      <c r="C48" s="42"/>
      <c r="D48" s="46"/>
      <c r="E48" s="47"/>
      <c r="F48" s="42"/>
      <c r="G48" s="42"/>
      <c r="H48" s="42"/>
      <c r="I48" s="42"/>
      <c r="J48" s="42"/>
      <c r="K48" s="42"/>
      <c r="L48" s="42"/>
    </row>
    <row r="49" spans="1:12" s="45" customFormat="1" ht="12.75">
      <c r="A49" s="41" t="s">
        <v>30</v>
      </c>
      <c r="B49" s="42"/>
      <c r="C49" s="42" t="s">
        <v>69</v>
      </c>
      <c r="D49" s="46"/>
      <c r="E49" s="47"/>
      <c r="F49" s="42"/>
      <c r="G49" s="42"/>
      <c r="H49" s="42"/>
      <c r="I49" s="42"/>
      <c r="J49" s="42"/>
      <c r="K49" s="42"/>
      <c r="L49" s="42"/>
    </row>
    <row r="50" spans="1:12" s="45" customFormat="1" ht="12.75">
      <c r="A50" s="41"/>
      <c r="B50" s="42"/>
      <c r="C50" s="42" t="s">
        <v>70</v>
      </c>
      <c r="D50" s="46"/>
      <c r="E50" s="47"/>
      <c r="F50" s="42"/>
      <c r="G50" s="42"/>
      <c r="H50" s="42"/>
      <c r="I50" s="42"/>
      <c r="J50" s="42"/>
      <c r="K50" s="42"/>
      <c r="L50" s="42"/>
    </row>
    <row r="51" spans="1:12" s="45" customFormat="1" ht="6" customHeight="1">
      <c r="A51" s="41"/>
      <c r="B51" s="42"/>
      <c r="C51" s="42"/>
      <c r="D51" s="46"/>
      <c r="E51" s="47"/>
      <c r="F51" s="42"/>
      <c r="G51" s="42"/>
      <c r="H51" s="42"/>
      <c r="I51" s="42"/>
      <c r="J51" s="42"/>
      <c r="K51" s="42"/>
      <c r="L51" s="42"/>
    </row>
    <row r="52" spans="1:12" s="45" customFormat="1" ht="12.75">
      <c r="A52" s="41" t="s">
        <v>79</v>
      </c>
      <c r="B52" s="42"/>
      <c r="C52" s="42" t="s">
        <v>72</v>
      </c>
      <c r="D52" s="46"/>
      <c r="E52" s="47"/>
      <c r="F52" s="42"/>
      <c r="G52" s="42"/>
      <c r="H52" s="42"/>
      <c r="I52" s="42"/>
      <c r="J52" s="42"/>
      <c r="K52" s="42"/>
      <c r="L52" s="42"/>
    </row>
    <row r="53" spans="1:12" s="45" customFormat="1" ht="12.75">
      <c r="A53" s="48"/>
      <c r="B53" s="42"/>
      <c r="C53" s="42" t="s">
        <v>73</v>
      </c>
      <c r="D53" s="46"/>
      <c r="E53" s="47"/>
      <c r="F53" s="42"/>
      <c r="G53" s="42"/>
      <c r="H53" s="42"/>
      <c r="I53" s="42"/>
      <c r="J53" s="42"/>
      <c r="K53" s="42"/>
      <c r="L53" s="42"/>
    </row>
    <row r="54" spans="1:12" s="45" customFormat="1" ht="6" customHeight="1">
      <c r="A54" s="49"/>
      <c r="B54" s="50"/>
      <c r="C54" s="50"/>
      <c r="D54" s="50"/>
      <c r="E54" s="51"/>
      <c r="F54" s="50"/>
      <c r="G54" s="50"/>
      <c r="H54" s="50"/>
      <c r="I54" s="50"/>
      <c r="J54" s="50"/>
      <c r="K54" s="50"/>
      <c r="L54" s="50"/>
    </row>
    <row r="55" spans="1:12" ht="12.75">
      <c r="A55" s="28"/>
      <c r="B55" s="29"/>
      <c r="C55" s="29"/>
      <c r="D55" s="29"/>
      <c r="E55" s="29"/>
      <c r="F55" s="30"/>
      <c r="G55" s="29"/>
      <c r="H55" s="29"/>
      <c r="I55" s="29"/>
      <c r="J55" s="29"/>
      <c r="K55" s="29"/>
      <c r="L55" s="29"/>
    </row>
    <row r="56" spans="1:12" s="23" customFormat="1" ht="12.75">
      <c r="A56" s="123" t="s">
        <v>31</v>
      </c>
      <c r="B56" s="124"/>
      <c r="C56" s="124"/>
      <c r="D56" s="124"/>
      <c r="E56" s="124"/>
      <c r="F56" s="124"/>
      <c r="G56" s="124"/>
      <c r="H56" s="124"/>
      <c r="I56" s="124"/>
      <c r="J56" s="124"/>
      <c r="K56" s="124"/>
      <c r="L56" s="125"/>
    </row>
    <row r="57" ht="12.75">
      <c r="A57" s="24"/>
    </row>
    <row r="58" spans="1:12" ht="13.5">
      <c r="A58" s="31"/>
      <c r="E58" s="10" t="s">
        <v>9</v>
      </c>
      <c r="F58" s="122" t="s">
        <v>80</v>
      </c>
      <c r="G58" s="122"/>
      <c r="H58" s="122"/>
      <c r="I58" s="122"/>
      <c r="J58" s="10" t="s">
        <v>10</v>
      </c>
      <c r="K58" s="53" t="s">
        <v>75</v>
      </c>
      <c r="L58" s="10"/>
    </row>
    <row r="59" spans="1:12" ht="12.75">
      <c r="A59" s="34"/>
      <c r="E59" s="8" t="s">
        <v>17</v>
      </c>
      <c r="F59" s="8" t="s">
        <v>81</v>
      </c>
      <c r="G59" s="55" t="s">
        <v>82</v>
      </c>
      <c r="H59" s="35"/>
      <c r="I59" s="8" t="s">
        <v>83</v>
      </c>
      <c r="J59" s="8" t="s">
        <v>19</v>
      </c>
      <c r="K59" s="54" t="s">
        <v>76</v>
      </c>
      <c r="L59" s="15"/>
    </row>
    <row r="60" spans="2:12" ht="12.75">
      <c r="B60" s="38" t="s">
        <v>52</v>
      </c>
      <c r="C60" s="38"/>
      <c r="D60" s="38"/>
      <c r="E60" s="56">
        <v>0.39</v>
      </c>
      <c r="F60" s="56">
        <v>0.31</v>
      </c>
      <c r="G60" s="57">
        <v>0.0875</v>
      </c>
      <c r="H60" s="58"/>
      <c r="I60" s="56">
        <v>0.0125</v>
      </c>
      <c r="J60" s="56">
        <v>0.1</v>
      </c>
      <c r="K60" s="56">
        <v>0.1</v>
      </c>
      <c r="L60" s="39"/>
    </row>
    <row r="61" spans="2:12" ht="12.75">
      <c r="B61" s="38" t="s">
        <v>53</v>
      </c>
      <c r="C61" s="38"/>
      <c r="D61" s="38"/>
      <c r="E61" s="56">
        <v>0.41</v>
      </c>
      <c r="F61" s="56">
        <v>0.31</v>
      </c>
      <c r="G61" s="57">
        <v>0.0875</v>
      </c>
      <c r="H61" s="58"/>
      <c r="I61" s="56">
        <v>0.0125</v>
      </c>
      <c r="J61" s="56">
        <v>0.08</v>
      </c>
      <c r="K61" s="56">
        <v>0.1</v>
      </c>
      <c r="L61" s="39"/>
    </row>
    <row r="62" spans="2:12" ht="12.75">
      <c r="B62" s="38"/>
      <c r="C62" s="38"/>
      <c r="D62" s="38"/>
      <c r="E62" s="26"/>
      <c r="F62" s="27"/>
      <c r="G62" s="39"/>
      <c r="H62" s="26"/>
      <c r="I62" s="39"/>
      <c r="J62" s="39"/>
      <c r="K62" s="39"/>
      <c r="L62" s="39"/>
    </row>
    <row r="63" spans="1:12" s="23" customFormat="1" ht="12.75">
      <c r="A63" s="126" t="s">
        <v>44</v>
      </c>
      <c r="B63" s="127"/>
      <c r="C63" s="127"/>
      <c r="D63" s="127"/>
      <c r="E63" s="127"/>
      <c r="F63" s="127"/>
      <c r="G63" s="127"/>
      <c r="H63" s="127"/>
      <c r="I63" s="127"/>
      <c r="J63" s="127"/>
      <c r="K63" s="127"/>
      <c r="L63" s="128"/>
    </row>
    <row r="64" spans="1:6" ht="12.75">
      <c r="A64" s="24"/>
      <c r="E64"/>
      <c r="F64" s="16"/>
    </row>
    <row r="65" spans="1:12" ht="52.5" customHeight="1">
      <c r="A65" s="121" t="s">
        <v>88</v>
      </c>
      <c r="B65" s="129"/>
      <c r="C65" s="129"/>
      <c r="D65" s="129"/>
      <c r="E65" s="129"/>
      <c r="F65" s="129"/>
      <c r="G65" s="129"/>
      <c r="H65" s="129"/>
      <c r="I65" s="129"/>
      <c r="J65" s="129"/>
      <c r="K65" s="129"/>
      <c r="L65" s="129"/>
    </row>
    <row r="66" spans="1:6" ht="12.75">
      <c r="A66" s="16"/>
      <c r="E66"/>
      <c r="F66" s="16"/>
    </row>
    <row r="67" spans="2:5" ht="12.75">
      <c r="B67" s="24" t="s">
        <v>45</v>
      </c>
      <c r="C67" s="24"/>
      <c r="D67" s="24"/>
      <c r="E67" s="16">
        <v>188000</v>
      </c>
    </row>
    <row r="68" spans="2:5" ht="12.75">
      <c r="B68" s="24" t="s">
        <v>46</v>
      </c>
      <c r="C68" s="24"/>
      <c r="D68" s="24"/>
      <c r="E68" s="16">
        <v>408000</v>
      </c>
    </row>
    <row r="69" spans="2:5" ht="12.75">
      <c r="B69" s="16" t="s">
        <v>47</v>
      </c>
      <c r="E69" s="16">
        <v>199000</v>
      </c>
    </row>
    <row r="70" ht="12.75">
      <c r="E70" s="16" t="s">
        <v>32</v>
      </c>
    </row>
    <row r="72" ht="12.75">
      <c r="A72" s="59" t="s">
        <v>90</v>
      </c>
    </row>
  </sheetData>
  <sheetProtection/>
  <mergeCells count="12">
    <mergeCell ref="I10:L10"/>
    <mergeCell ref="A31:L31"/>
    <mergeCell ref="A56:L56"/>
    <mergeCell ref="F58:I58"/>
    <mergeCell ref="A63:L63"/>
    <mergeCell ref="A65:L65"/>
    <mergeCell ref="A1:L1"/>
    <mergeCell ref="A2:L2"/>
    <mergeCell ref="A3:L3"/>
    <mergeCell ref="A4:L4"/>
    <mergeCell ref="A5:L5"/>
    <mergeCell ref="A8:L8"/>
  </mergeCells>
  <hyperlinks>
    <hyperlink ref="A4" r:id="rId1" display="www.monticellocasinoandraceway.com"/>
  </hyperlinks>
  <printOptions horizontalCentered="1"/>
  <pageMargins left="0.25" right="0.25" top="0.75" bottom="0.5" header="0.5" footer="0.5"/>
  <pageSetup fitToHeight="1" fitToWidth="1" horizontalDpi="600" verticalDpi="600" orientation="portrait" scale="78"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M72"/>
  <sheetViews>
    <sheetView zoomScalePageLayoutView="0" workbookViewId="0" topLeftCell="A1">
      <selection activeCell="C16" sqref="C16"/>
    </sheetView>
  </sheetViews>
  <sheetFormatPr defaultColWidth="9.140625" defaultRowHeight="12.75"/>
  <cols>
    <col min="1" max="1" width="9.28125" style="3" customWidth="1"/>
    <col min="2" max="2" width="14.140625" style="16" customWidth="1"/>
    <col min="3" max="3" width="10.8515625" style="16" customWidth="1"/>
    <col min="4" max="4" width="14.140625" style="16" customWidth="1"/>
    <col min="5" max="5" width="12.7109375" style="16" customWidth="1"/>
    <col min="6" max="6" width="8.8515625" style="17" customWidth="1"/>
    <col min="7" max="7" width="10.28125" style="16" customWidth="1"/>
    <col min="8" max="8" width="1.421875" style="16" customWidth="1"/>
    <col min="9" max="10" width="11.7109375" style="16" bestFit="1" customWidth="1"/>
    <col min="11" max="12" width="12.8515625" style="16" bestFit="1" customWidth="1"/>
    <col min="13" max="13" width="12.7109375" style="0" customWidth="1"/>
  </cols>
  <sheetData>
    <row r="1" spans="1:12" ht="17.25">
      <c r="A1" s="130" t="s">
        <v>55</v>
      </c>
      <c r="B1" s="130"/>
      <c r="C1" s="130"/>
      <c r="D1" s="130"/>
      <c r="E1" s="130"/>
      <c r="F1" s="130"/>
      <c r="G1" s="130"/>
      <c r="H1" s="130"/>
      <c r="I1" s="130"/>
      <c r="J1" s="130"/>
      <c r="K1" s="130"/>
      <c r="L1" s="130"/>
    </row>
    <row r="2" spans="1:12" ht="15">
      <c r="A2" s="131" t="s">
        <v>0</v>
      </c>
      <c r="B2" s="131"/>
      <c r="C2" s="131"/>
      <c r="D2" s="131"/>
      <c r="E2" s="131"/>
      <c r="F2" s="131"/>
      <c r="G2" s="131"/>
      <c r="H2" s="131"/>
      <c r="I2" s="131"/>
      <c r="J2" s="131"/>
      <c r="K2" s="131"/>
      <c r="L2" s="131"/>
    </row>
    <row r="3" spans="1:12" s="1" customFormat="1" ht="15">
      <c r="A3" s="131" t="s">
        <v>1</v>
      </c>
      <c r="B3" s="131"/>
      <c r="C3" s="131"/>
      <c r="D3" s="131"/>
      <c r="E3" s="131"/>
      <c r="F3" s="131"/>
      <c r="G3" s="131"/>
      <c r="H3" s="131"/>
      <c r="I3" s="131"/>
      <c r="J3" s="131"/>
      <c r="K3" s="131"/>
      <c r="L3" s="131"/>
    </row>
    <row r="4" spans="1:12" s="1" customFormat="1" ht="13.5">
      <c r="A4" s="133" t="s">
        <v>2</v>
      </c>
      <c r="B4" s="133"/>
      <c r="C4" s="133"/>
      <c r="D4" s="133"/>
      <c r="E4" s="133"/>
      <c r="F4" s="133"/>
      <c r="G4" s="133"/>
      <c r="H4" s="133"/>
      <c r="I4" s="133"/>
      <c r="J4" s="133"/>
      <c r="K4" s="133"/>
      <c r="L4" s="133"/>
    </row>
    <row r="5" spans="1:12" s="1" customFormat="1" ht="13.5">
      <c r="A5" s="132" t="s">
        <v>3</v>
      </c>
      <c r="B5" s="132"/>
      <c r="C5" s="132"/>
      <c r="D5" s="132"/>
      <c r="E5" s="132"/>
      <c r="F5" s="132"/>
      <c r="G5" s="132"/>
      <c r="H5" s="132"/>
      <c r="I5" s="132"/>
      <c r="J5" s="132"/>
      <c r="K5" s="132"/>
      <c r="L5" s="132"/>
    </row>
    <row r="6" spans="1:12" s="1" customFormat="1" ht="13.5">
      <c r="A6" s="2"/>
      <c r="B6" s="2"/>
      <c r="C6" s="2"/>
      <c r="D6" s="2"/>
      <c r="E6" s="2"/>
      <c r="F6" s="2"/>
      <c r="G6" s="2"/>
      <c r="H6" s="2"/>
      <c r="I6" s="2"/>
      <c r="J6" s="2"/>
      <c r="K6" s="2"/>
      <c r="L6" s="2"/>
    </row>
    <row r="7" spans="1:12" s="1" customFormat="1" ht="12.75">
      <c r="A7" s="3"/>
      <c r="B7" s="4"/>
      <c r="C7" s="4"/>
      <c r="D7" s="4"/>
      <c r="E7" s="5"/>
      <c r="F7" s="6"/>
      <c r="G7" s="5"/>
      <c r="H7" s="5"/>
      <c r="I7" s="5"/>
      <c r="J7" s="5"/>
      <c r="K7" s="5"/>
      <c r="L7" s="5"/>
    </row>
    <row r="8" spans="1:12" s="7" customFormat="1" ht="14.25" customHeight="1">
      <c r="A8" s="123" t="s">
        <v>66</v>
      </c>
      <c r="B8" s="124"/>
      <c r="C8" s="124"/>
      <c r="D8" s="124"/>
      <c r="E8" s="124"/>
      <c r="F8" s="124"/>
      <c r="G8" s="124"/>
      <c r="H8" s="124"/>
      <c r="I8" s="124"/>
      <c r="J8" s="124"/>
      <c r="K8" s="124"/>
      <c r="L8" s="125"/>
    </row>
    <row r="9" spans="1:12" s="1" customFormat="1" ht="9" customHeight="1">
      <c r="A9" s="3"/>
      <c r="B9" s="4"/>
      <c r="C9" s="4"/>
      <c r="D9" s="4"/>
      <c r="E9" s="5"/>
      <c r="F9" s="6"/>
      <c r="G9" s="5"/>
      <c r="H9" s="5"/>
      <c r="I9" s="5"/>
      <c r="J9" s="5"/>
      <c r="K9" s="5"/>
      <c r="L9" s="5"/>
    </row>
    <row r="10" spans="1:12" s="1" customFormat="1" ht="12.75">
      <c r="A10" s="3"/>
      <c r="B10" s="5"/>
      <c r="C10" s="5"/>
      <c r="D10" s="5"/>
      <c r="E10" s="5"/>
      <c r="F10" s="6"/>
      <c r="G10" s="5"/>
      <c r="H10" s="5"/>
      <c r="I10" s="122" t="s">
        <v>5</v>
      </c>
      <c r="J10" s="122"/>
      <c r="K10" s="122"/>
      <c r="L10" s="122"/>
    </row>
    <row r="11" spans="1:12" s="1" customFormat="1" ht="12" customHeight="1">
      <c r="A11" s="3"/>
      <c r="B11" s="5"/>
      <c r="C11" s="10"/>
      <c r="D11" s="5"/>
      <c r="E11" s="5"/>
      <c r="F11" s="6"/>
      <c r="G11" s="5"/>
      <c r="H11" s="5"/>
      <c r="I11" s="5"/>
      <c r="J11" s="5"/>
      <c r="K11" s="5"/>
      <c r="L11" s="5"/>
    </row>
    <row r="12" spans="1:12" s="12" customFormat="1" ht="12">
      <c r="A12" s="9"/>
      <c r="B12" s="10" t="s">
        <v>6</v>
      </c>
      <c r="C12" s="10" t="s">
        <v>61</v>
      </c>
      <c r="D12" s="10" t="s">
        <v>6</v>
      </c>
      <c r="E12" s="10"/>
      <c r="F12" s="11" t="s">
        <v>7</v>
      </c>
      <c r="G12" s="10" t="s">
        <v>8</v>
      </c>
      <c r="H12" s="10"/>
      <c r="I12" s="10" t="s">
        <v>9</v>
      </c>
      <c r="J12" s="10" t="s">
        <v>74</v>
      </c>
      <c r="K12" s="10" t="s">
        <v>10</v>
      </c>
      <c r="L12" s="10" t="s">
        <v>75</v>
      </c>
    </row>
    <row r="13" spans="1:12" s="12" customFormat="1" ht="12">
      <c r="A13" s="13" t="s">
        <v>11</v>
      </c>
      <c r="B13" s="8" t="s">
        <v>12</v>
      </c>
      <c r="C13" s="8" t="s">
        <v>19</v>
      </c>
      <c r="D13" s="8" t="s">
        <v>13</v>
      </c>
      <c r="E13" s="8" t="s">
        <v>14</v>
      </c>
      <c r="F13" s="14" t="s">
        <v>15</v>
      </c>
      <c r="G13" s="8" t="s">
        <v>16</v>
      </c>
      <c r="H13" s="15"/>
      <c r="I13" s="8" t="s">
        <v>17</v>
      </c>
      <c r="J13" s="8" t="s">
        <v>18</v>
      </c>
      <c r="K13" s="8" t="s">
        <v>19</v>
      </c>
      <c r="L13" s="8" t="s">
        <v>76</v>
      </c>
    </row>
    <row r="15" spans="1:12" ht="12.75">
      <c r="A15" s="3">
        <v>40634</v>
      </c>
      <c r="B15" s="16">
        <v>72144516.96</v>
      </c>
      <c r="C15" s="26">
        <f>566960.65-31325</f>
        <v>535635.65</v>
      </c>
      <c r="D15" s="16">
        <f aca="true" t="shared" si="0" ref="D15:D26">+B15-C15-E15</f>
        <v>66368007.679999985</v>
      </c>
      <c r="E15" s="16">
        <v>5240873.63</v>
      </c>
      <c r="F15" s="17">
        <f>33300/30</f>
        <v>1110</v>
      </c>
      <c r="G15" s="16">
        <f>E15/F15/30</f>
        <v>157.38359249249248</v>
      </c>
      <c r="I15" s="16">
        <v>2043940.71</v>
      </c>
      <c r="J15" s="16">
        <v>2148758.18</v>
      </c>
      <c r="K15" s="16">
        <v>524087.37</v>
      </c>
      <c r="L15" s="16">
        <v>524087.37</v>
      </c>
    </row>
    <row r="16" spans="1:12" ht="12.75">
      <c r="A16" s="3">
        <v>40664</v>
      </c>
      <c r="B16" s="16">
        <v>77834236.87</v>
      </c>
      <c r="C16" s="16">
        <f>638400.07-33620</f>
        <v>604780.07</v>
      </c>
      <c r="D16" s="16">
        <f t="shared" si="0"/>
        <v>71738412.31000002</v>
      </c>
      <c r="E16" s="16">
        <v>5491044.49</v>
      </c>
      <c r="F16" s="17">
        <f>34410/31</f>
        <v>1110</v>
      </c>
      <c r="G16" s="16">
        <f>E16/F16/31</f>
        <v>159.57699767509445</v>
      </c>
      <c r="I16" s="16">
        <v>2141507.33</v>
      </c>
      <c r="J16" s="16">
        <v>2251328.25</v>
      </c>
      <c r="K16" s="16">
        <v>549104.47</v>
      </c>
      <c r="L16" s="16">
        <v>549104.47</v>
      </c>
    </row>
    <row r="17" spans="1:12" ht="12.75">
      <c r="A17" s="3">
        <v>40695</v>
      </c>
      <c r="B17" s="16">
        <v>74029066.75</v>
      </c>
      <c r="C17" s="16">
        <f>567507.07-42645</f>
        <v>524862.07</v>
      </c>
      <c r="D17" s="16">
        <f t="shared" si="0"/>
        <v>68141849.41000001</v>
      </c>
      <c r="E17" s="16">
        <v>5362355.27</v>
      </c>
      <c r="F17" s="17">
        <f>33300/30</f>
        <v>1110</v>
      </c>
      <c r="G17" s="16">
        <f>E17/F17/30</f>
        <v>161.03168978978977</v>
      </c>
      <c r="I17" s="16">
        <v>2091318.55</v>
      </c>
      <c r="J17" s="16">
        <v>2198565.65</v>
      </c>
      <c r="K17" s="16">
        <v>536235.54</v>
      </c>
      <c r="L17" s="16">
        <v>536235.54</v>
      </c>
    </row>
    <row r="18" spans="1:12" ht="12.75">
      <c r="A18" s="3">
        <v>40725</v>
      </c>
      <c r="B18" s="16">
        <v>91040352.1</v>
      </c>
      <c r="C18" s="16">
        <v>803052.39</v>
      </c>
      <c r="D18" s="16">
        <f t="shared" si="0"/>
        <v>83954669.89999999</v>
      </c>
      <c r="E18" s="16">
        <v>6282629.81</v>
      </c>
      <c r="F18" s="17">
        <f>34410/31</f>
        <v>1110</v>
      </c>
      <c r="G18" s="16">
        <f>E18/F18/31</f>
        <v>182.58151147922115</v>
      </c>
      <c r="I18" s="16">
        <v>2450225.63</v>
      </c>
      <c r="J18" s="16">
        <v>2575878.21</v>
      </c>
      <c r="K18" s="16">
        <v>628263.01</v>
      </c>
      <c r="L18" s="16">
        <v>628263.01</v>
      </c>
    </row>
    <row r="19" spans="1:12" ht="12.75">
      <c r="A19" s="3">
        <v>40756</v>
      </c>
      <c r="B19" s="16">
        <v>79625722.41</v>
      </c>
      <c r="C19" s="16">
        <f>707706.65-182229</f>
        <v>525477.65</v>
      </c>
      <c r="D19" s="16">
        <f t="shared" si="0"/>
        <v>73391836.85</v>
      </c>
      <c r="E19" s="16">
        <v>5708407.91</v>
      </c>
      <c r="F19" s="17">
        <f>34410/31</f>
        <v>1110</v>
      </c>
      <c r="G19" s="16">
        <f>E19/F19/31</f>
        <v>165.89386544609127</v>
      </c>
      <c r="I19" s="16">
        <v>2226279.09</v>
      </c>
      <c r="J19" s="16">
        <v>2340447.24</v>
      </c>
      <c r="K19" s="16">
        <v>570840.83</v>
      </c>
      <c r="L19" s="16">
        <v>570840.83</v>
      </c>
    </row>
    <row r="20" spans="1:12" ht="12.75">
      <c r="A20" s="3">
        <v>40787</v>
      </c>
      <c r="B20" s="16">
        <v>80644091.45</v>
      </c>
      <c r="C20" s="16">
        <f>671283.15-42446</f>
        <v>628837.15</v>
      </c>
      <c r="D20" s="16">
        <f t="shared" si="0"/>
        <v>74512978.96</v>
      </c>
      <c r="E20" s="16">
        <v>5502275.34</v>
      </c>
      <c r="F20" s="17">
        <f>33300/30</f>
        <v>1110</v>
      </c>
      <c r="G20" s="16">
        <f>E20/F20/30</f>
        <v>165.23349369369367</v>
      </c>
      <c r="I20" s="16">
        <v>2145887.36</v>
      </c>
      <c r="J20" s="16">
        <v>2255932.88</v>
      </c>
      <c r="K20" s="16">
        <v>550227.54</v>
      </c>
      <c r="L20" s="16">
        <v>550227.54</v>
      </c>
    </row>
    <row r="21" spans="1:12" ht="12.75">
      <c r="A21" s="3">
        <v>40817</v>
      </c>
      <c r="B21" s="16">
        <v>72242205.84</v>
      </c>
      <c r="C21" s="16">
        <f>684545.39-46835</f>
        <v>637710.39</v>
      </c>
      <c r="D21" s="16">
        <f t="shared" si="0"/>
        <v>66731016.690000005</v>
      </c>
      <c r="E21" s="16">
        <v>4873478.76</v>
      </c>
      <c r="F21" s="17">
        <f>34410/31</f>
        <v>1110</v>
      </c>
      <c r="G21" s="16">
        <f>E21/F21/31</f>
        <v>141.62972275501306</v>
      </c>
      <c r="I21" s="16">
        <v>1900656.71</v>
      </c>
      <c r="J21" s="16">
        <v>1998126.29</v>
      </c>
      <c r="K21" s="16">
        <v>487347.89</v>
      </c>
      <c r="L21" s="16">
        <v>487347.89</v>
      </c>
    </row>
    <row r="22" spans="1:12" ht="12.75">
      <c r="A22" s="3">
        <v>40848</v>
      </c>
      <c r="B22" s="16">
        <v>70501913.12</v>
      </c>
      <c r="C22" s="16">
        <f>676144.62-43645</f>
        <v>632499.62</v>
      </c>
      <c r="D22" s="16">
        <f t="shared" si="0"/>
        <v>65066540.519999996</v>
      </c>
      <c r="E22" s="16">
        <v>4802872.98</v>
      </c>
      <c r="F22" s="17">
        <f>33300/30</f>
        <v>1110</v>
      </c>
      <c r="G22" s="16">
        <f>E22/F22/30</f>
        <v>144.23041981981984</v>
      </c>
      <c r="I22" s="16">
        <v>1873120.46</v>
      </c>
      <c r="J22" s="16">
        <v>1969177.92</v>
      </c>
      <c r="K22" s="16">
        <v>480287.32</v>
      </c>
      <c r="L22" s="16">
        <v>480287.32</v>
      </c>
    </row>
    <row r="23" spans="1:12" ht="12.75">
      <c r="A23" s="3">
        <v>40878</v>
      </c>
      <c r="B23" s="16">
        <v>66387812.42</v>
      </c>
      <c r="C23" s="16">
        <f>641593.24-52560</f>
        <v>589033.24</v>
      </c>
      <c r="D23" s="16">
        <f t="shared" si="0"/>
        <v>61199634.42</v>
      </c>
      <c r="E23" s="16">
        <v>4599144.76</v>
      </c>
      <c r="F23" s="17">
        <f>34410/31</f>
        <v>1110</v>
      </c>
      <c r="G23" s="16">
        <f>E23/F23/31</f>
        <v>133.65721476315025</v>
      </c>
      <c r="I23" s="16">
        <v>1793666.46</v>
      </c>
      <c r="J23" s="16">
        <v>1885649.35</v>
      </c>
      <c r="K23" s="16">
        <v>459914.49</v>
      </c>
      <c r="L23" s="16">
        <v>459914.49</v>
      </c>
    </row>
    <row r="24" spans="1:12" ht="12.75">
      <c r="A24" s="3">
        <v>40909</v>
      </c>
      <c r="B24" s="16">
        <v>60319095.39</v>
      </c>
      <c r="C24" s="16">
        <f>397636.36-50365</f>
        <v>347271.36</v>
      </c>
      <c r="D24" s="16">
        <f t="shared" si="0"/>
        <v>55586149.2</v>
      </c>
      <c r="E24" s="16">
        <v>4385674.83</v>
      </c>
      <c r="F24" s="17">
        <f>34410/31</f>
        <v>1110</v>
      </c>
      <c r="G24" s="16">
        <f>E24/F24/31</f>
        <v>127.45349694856148</v>
      </c>
      <c r="I24" s="16">
        <v>1710413.18</v>
      </c>
      <c r="J24" s="16">
        <v>1798126.69</v>
      </c>
      <c r="K24" s="16">
        <v>438567.5</v>
      </c>
      <c r="L24" s="16">
        <v>438567.49</v>
      </c>
    </row>
    <row r="25" spans="1:12" ht="12.75">
      <c r="A25" s="3">
        <v>40940</v>
      </c>
      <c r="B25" s="16">
        <v>69086548.52</v>
      </c>
      <c r="C25" s="16">
        <v>510961.36</v>
      </c>
      <c r="D25" s="16">
        <f t="shared" si="0"/>
        <v>63666011.48</v>
      </c>
      <c r="E25" s="16">
        <v>4909575.68</v>
      </c>
      <c r="F25" s="17">
        <v>1110</v>
      </c>
      <c r="G25" s="16">
        <f>E25/F25/29</f>
        <v>152.51866045355698</v>
      </c>
      <c r="I25" s="16">
        <v>1914734.5</v>
      </c>
      <c r="J25" s="16">
        <v>2012926.03</v>
      </c>
      <c r="K25" s="16">
        <v>490957.58</v>
      </c>
      <c r="L25" s="16">
        <v>490957.58</v>
      </c>
    </row>
    <row r="26" spans="1:12" ht="12.75">
      <c r="A26" s="3">
        <v>40969</v>
      </c>
      <c r="B26" s="16">
        <v>75923589.27</v>
      </c>
      <c r="C26" s="16">
        <f>493164.99-81140</f>
        <v>412024.99</v>
      </c>
      <c r="D26" s="16">
        <f t="shared" si="0"/>
        <v>69993904.44</v>
      </c>
      <c r="E26" s="16">
        <v>5517659.84</v>
      </c>
      <c r="F26" s="17">
        <f>34410/31</f>
        <v>1110</v>
      </c>
      <c r="G26" s="16">
        <f>E26/F26/31</f>
        <v>160.35047486195873</v>
      </c>
      <c r="I26" s="16">
        <v>2151887.33</v>
      </c>
      <c r="J26" s="16">
        <v>2262240.53</v>
      </c>
      <c r="K26" s="16">
        <v>551763.98</v>
      </c>
      <c r="L26" s="16">
        <v>551765.98</v>
      </c>
    </row>
    <row r="27" spans="1:12" ht="13.5" thickBot="1">
      <c r="A27" s="3" t="s">
        <v>20</v>
      </c>
      <c r="B27" s="18">
        <f>SUM(B15:B26)</f>
        <v>889779151.0999998</v>
      </c>
      <c r="C27" s="18">
        <f>SUM(C15:C26)</f>
        <v>6752145.940000001</v>
      </c>
      <c r="D27" s="18">
        <f>SUM(D15:D26)</f>
        <v>820351011.8599999</v>
      </c>
      <c r="E27" s="18">
        <f>SUM(E15:E26)</f>
        <v>62675993.3</v>
      </c>
      <c r="I27" s="18">
        <f>SUM(I15:I26)</f>
        <v>24443637.310000002</v>
      </c>
      <c r="J27" s="18">
        <f>SUM(J15:J26)</f>
        <v>25697157.220000003</v>
      </c>
      <c r="K27" s="18">
        <f>SUM(K15:K26)</f>
        <v>6267597.52</v>
      </c>
      <c r="L27" s="18">
        <f>SUM(L15:L26)</f>
        <v>6267599.51</v>
      </c>
    </row>
    <row r="28" spans="2:12" ht="10.5" customHeight="1" thickTop="1">
      <c r="B28" s="19"/>
      <c r="C28" s="19"/>
      <c r="D28" s="19"/>
      <c r="E28" s="19"/>
      <c r="I28" s="19"/>
      <c r="J28" s="19"/>
      <c r="K28" s="19"/>
      <c r="L28" s="19"/>
    </row>
    <row r="29" spans="1:12" s="22" customFormat="1" ht="12.75">
      <c r="A29" s="20"/>
      <c r="B29" s="21"/>
      <c r="C29" s="21">
        <f>C27/B27</f>
        <v>0.007588563894369274</v>
      </c>
      <c r="D29" s="21">
        <f>D27/B27</f>
        <v>0.9219714924156533</v>
      </c>
      <c r="E29" s="21">
        <f>E27/B27</f>
        <v>0.07043994368997754</v>
      </c>
      <c r="I29" s="21">
        <f>I27/$E$27</f>
        <v>0.3899999987714595</v>
      </c>
      <c r="J29" s="21">
        <f>J27/$E$27</f>
        <v>0.4099999994734827</v>
      </c>
      <c r="K29" s="21">
        <f>K27/$E$27</f>
        <v>0.09999997112131927</v>
      </c>
      <c r="L29" s="21">
        <f>L27/$E$27</f>
        <v>0.100000002871913</v>
      </c>
    </row>
    <row r="31" spans="1:12" s="23" customFormat="1" ht="12.75">
      <c r="A31" s="123" t="s">
        <v>21</v>
      </c>
      <c r="B31" s="124"/>
      <c r="C31" s="124"/>
      <c r="D31" s="124"/>
      <c r="E31" s="124"/>
      <c r="F31" s="124"/>
      <c r="G31" s="124"/>
      <c r="H31" s="124"/>
      <c r="I31" s="124"/>
      <c r="J31" s="124"/>
      <c r="K31" s="124"/>
      <c r="L31" s="125"/>
    </row>
    <row r="32" ht="12.75">
      <c r="A32" s="24"/>
    </row>
    <row r="33" spans="1:12" s="45" customFormat="1" ht="12.75" customHeight="1">
      <c r="A33" s="41" t="s">
        <v>22</v>
      </c>
      <c r="B33" s="42"/>
      <c r="C33" s="43" t="s">
        <v>86</v>
      </c>
      <c r="D33" s="44"/>
      <c r="E33" s="44"/>
      <c r="F33" s="44"/>
      <c r="G33" s="44"/>
      <c r="H33" s="44"/>
      <c r="I33" s="44"/>
      <c r="J33" s="44"/>
      <c r="K33" s="44"/>
      <c r="L33" s="44"/>
    </row>
    <row r="34" spans="1:12" s="45" customFormat="1" ht="12.75" customHeight="1">
      <c r="A34" s="41"/>
      <c r="B34" s="42"/>
      <c r="C34" s="43" t="s">
        <v>87</v>
      </c>
      <c r="D34" s="44"/>
      <c r="E34" s="44"/>
      <c r="F34" s="44"/>
      <c r="G34" s="44"/>
      <c r="H34" s="44"/>
      <c r="I34" s="44"/>
      <c r="J34" s="44"/>
      <c r="K34" s="44"/>
      <c r="L34" s="44"/>
    </row>
    <row r="35" spans="1:13" ht="6" customHeight="1">
      <c r="A35" s="25"/>
      <c r="B35" s="26"/>
      <c r="C35" s="26"/>
      <c r="D35" s="26"/>
      <c r="F35" s="26"/>
      <c r="G35" s="26"/>
      <c r="H35" s="26"/>
      <c r="I35" s="26"/>
      <c r="J35" s="26"/>
      <c r="K35" s="26"/>
      <c r="L35" s="26"/>
      <c r="M35" s="26"/>
    </row>
    <row r="36" spans="1:13" ht="12.75">
      <c r="A36" s="25" t="s">
        <v>89</v>
      </c>
      <c r="B36" s="26"/>
      <c r="C36" s="26" t="s">
        <v>58</v>
      </c>
      <c r="F36" s="26"/>
      <c r="G36" s="26"/>
      <c r="H36" s="26"/>
      <c r="I36" s="26"/>
      <c r="J36" s="26"/>
      <c r="K36" s="26"/>
      <c r="L36" s="26"/>
      <c r="M36" s="26"/>
    </row>
    <row r="37" spans="1:13" ht="6" customHeight="1">
      <c r="A37" s="25"/>
      <c r="B37" s="26"/>
      <c r="C37" s="26"/>
      <c r="D37" s="26"/>
      <c r="F37" s="26"/>
      <c r="G37" s="26"/>
      <c r="H37" s="26"/>
      <c r="I37" s="26"/>
      <c r="J37" s="26"/>
      <c r="K37" s="26"/>
      <c r="L37" s="26"/>
      <c r="M37" s="26"/>
    </row>
    <row r="38" spans="1:12" s="45" customFormat="1" ht="12.75">
      <c r="A38" s="41" t="s">
        <v>23</v>
      </c>
      <c r="B38" s="42"/>
      <c r="C38" s="43" t="s">
        <v>24</v>
      </c>
      <c r="D38" s="46"/>
      <c r="E38" s="43"/>
      <c r="F38" s="43"/>
      <c r="G38" s="43"/>
      <c r="H38" s="43"/>
      <c r="I38" s="42"/>
      <c r="J38" s="42"/>
      <c r="K38" s="42"/>
      <c r="L38" s="42"/>
    </row>
    <row r="39" spans="1:12" s="45" customFormat="1" ht="6" customHeight="1">
      <c r="A39" s="41"/>
      <c r="B39" s="42"/>
      <c r="C39" s="43"/>
      <c r="D39" s="46"/>
      <c r="E39" s="43"/>
      <c r="F39" s="43"/>
      <c r="G39" s="43"/>
      <c r="H39" s="43"/>
      <c r="I39" s="42"/>
      <c r="J39" s="42"/>
      <c r="K39" s="42"/>
      <c r="L39" s="42"/>
    </row>
    <row r="40" spans="1:12" s="45" customFormat="1" ht="12.75">
      <c r="A40" s="41" t="s">
        <v>25</v>
      </c>
      <c r="B40" s="42"/>
      <c r="C40" s="42" t="s">
        <v>59</v>
      </c>
      <c r="D40" s="46"/>
      <c r="E40" s="47"/>
      <c r="F40" s="42"/>
      <c r="G40" s="42"/>
      <c r="H40" s="42"/>
      <c r="I40" s="42"/>
      <c r="J40" s="42"/>
      <c r="K40" s="42"/>
      <c r="L40" s="42"/>
    </row>
    <row r="41" spans="1:12" s="45" customFormat="1" ht="12.75">
      <c r="A41" s="41"/>
      <c r="B41" s="42"/>
      <c r="C41" s="42" t="s">
        <v>60</v>
      </c>
      <c r="D41" s="46"/>
      <c r="E41" s="47"/>
      <c r="F41" s="42"/>
      <c r="G41" s="42"/>
      <c r="H41" s="42"/>
      <c r="I41" s="42"/>
      <c r="J41" s="42"/>
      <c r="K41" s="42"/>
      <c r="L41" s="42"/>
    </row>
    <row r="42" spans="1:12" s="45" customFormat="1" ht="6" customHeight="1">
      <c r="A42" s="41"/>
      <c r="B42" s="42"/>
      <c r="C42" s="42"/>
      <c r="D42" s="46"/>
      <c r="E42" s="47"/>
      <c r="F42" s="42"/>
      <c r="G42" s="42"/>
      <c r="H42" s="42"/>
      <c r="I42" s="42"/>
      <c r="J42" s="42"/>
      <c r="K42" s="42"/>
      <c r="L42" s="42"/>
    </row>
    <row r="43" spans="1:12" s="45" customFormat="1" ht="12.75">
      <c r="A43" s="41" t="s">
        <v>28</v>
      </c>
      <c r="B43" s="42"/>
      <c r="C43" s="42" t="s">
        <v>29</v>
      </c>
      <c r="D43" s="46"/>
      <c r="E43" s="47"/>
      <c r="F43" s="42"/>
      <c r="G43" s="42"/>
      <c r="H43" s="42"/>
      <c r="I43" s="42"/>
      <c r="J43" s="42"/>
      <c r="K43" s="42"/>
      <c r="L43" s="42"/>
    </row>
    <row r="44" spans="1:12" s="45" customFormat="1" ht="6" customHeight="1">
      <c r="A44" s="41"/>
      <c r="B44" s="42"/>
      <c r="C44" s="42"/>
      <c r="D44" s="46"/>
      <c r="E44" s="47"/>
      <c r="F44" s="42"/>
      <c r="G44" s="42"/>
      <c r="H44" s="42"/>
      <c r="I44" s="42"/>
      <c r="J44" s="42"/>
      <c r="K44" s="42"/>
      <c r="L44" s="42"/>
    </row>
    <row r="45" spans="1:12" s="45" customFormat="1" ht="12.75">
      <c r="A45" s="41" t="s">
        <v>67</v>
      </c>
      <c r="B45" s="42"/>
      <c r="C45" s="42" t="s">
        <v>68</v>
      </c>
      <c r="D45" s="46"/>
      <c r="E45" s="47"/>
      <c r="F45" s="42"/>
      <c r="G45" s="42"/>
      <c r="H45" s="42"/>
      <c r="I45" s="42"/>
      <c r="J45" s="42"/>
      <c r="K45" s="42"/>
      <c r="L45" s="42"/>
    </row>
    <row r="46" spans="1:12" s="45" customFormat="1" ht="12.75">
      <c r="A46" s="41"/>
      <c r="B46" s="42"/>
      <c r="C46" s="42" t="s">
        <v>77</v>
      </c>
      <c r="D46" s="46"/>
      <c r="E46" s="47"/>
      <c r="F46" s="42"/>
      <c r="G46" s="42"/>
      <c r="H46" s="42"/>
      <c r="I46" s="42"/>
      <c r="J46" s="42"/>
      <c r="K46" s="42"/>
      <c r="L46" s="42"/>
    </row>
    <row r="47" spans="1:12" s="45" customFormat="1" ht="12.75">
      <c r="A47" s="41"/>
      <c r="B47" s="42"/>
      <c r="C47" s="42" t="s">
        <v>78</v>
      </c>
      <c r="D47" s="46"/>
      <c r="E47" s="47"/>
      <c r="F47" s="42"/>
      <c r="G47" s="42"/>
      <c r="H47" s="42"/>
      <c r="I47" s="42"/>
      <c r="J47" s="42"/>
      <c r="K47" s="42"/>
      <c r="L47" s="42"/>
    </row>
    <row r="48" spans="1:12" s="45" customFormat="1" ht="6" customHeight="1">
      <c r="A48" s="41"/>
      <c r="B48" s="42"/>
      <c r="C48" s="42"/>
      <c r="D48" s="46"/>
      <c r="E48" s="47"/>
      <c r="F48" s="42"/>
      <c r="G48" s="42"/>
      <c r="H48" s="42"/>
      <c r="I48" s="42"/>
      <c r="J48" s="42"/>
      <c r="K48" s="42"/>
      <c r="L48" s="42"/>
    </row>
    <row r="49" spans="1:12" s="45" customFormat="1" ht="12.75">
      <c r="A49" s="41" t="s">
        <v>30</v>
      </c>
      <c r="B49" s="42"/>
      <c r="C49" s="42" t="s">
        <v>69</v>
      </c>
      <c r="D49" s="46"/>
      <c r="E49" s="47"/>
      <c r="F49" s="42"/>
      <c r="G49" s="42"/>
      <c r="H49" s="42"/>
      <c r="I49" s="42"/>
      <c r="J49" s="42"/>
      <c r="K49" s="42"/>
      <c r="L49" s="42"/>
    </row>
    <row r="50" spans="1:12" s="45" customFormat="1" ht="12.75">
      <c r="A50" s="41"/>
      <c r="B50" s="42"/>
      <c r="C50" s="42" t="s">
        <v>70</v>
      </c>
      <c r="D50" s="46"/>
      <c r="E50" s="47"/>
      <c r="F50" s="42"/>
      <c r="G50" s="42"/>
      <c r="H50" s="42"/>
      <c r="I50" s="42"/>
      <c r="J50" s="42"/>
      <c r="K50" s="42"/>
      <c r="L50" s="42"/>
    </row>
    <row r="51" spans="1:12" s="45" customFormat="1" ht="6" customHeight="1">
      <c r="A51" s="41"/>
      <c r="B51" s="42"/>
      <c r="C51" s="42"/>
      <c r="D51" s="46"/>
      <c r="E51" s="47"/>
      <c r="F51" s="42"/>
      <c r="G51" s="42"/>
      <c r="H51" s="42"/>
      <c r="I51" s="42"/>
      <c r="J51" s="42"/>
      <c r="K51" s="42"/>
      <c r="L51" s="42"/>
    </row>
    <row r="52" spans="1:12" s="45" customFormat="1" ht="12.75">
      <c r="A52" s="41" t="s">
        <v>79</v>
      </c>
      <c r="B52" s="42"/>
      <c r="C52" s="42" t="s">
        <v>72</v>
      </c>
      <c r="D52" s="46"/>
      <c r="E52" s="47"/>
      <c r="F52" s="42"/>
      <c r="G52" s="42"/>
      <c r="H52" s="42"/>
      <c r="I52" s="42"/>
      <c r="J52" s="42"/>
      <c r="K52" s="42"/>
      <c r="L52" s="42"/>
    </row>
    <row r="53" spans="1:12" s="45" customFormat="1" ht="12.75">
      <c r="A53" s="48"/>
      <c r="B53" s="42"/>
      <c r="C53" s="42" t="s">
        <v>73</v>
      </c>
      <c r="D53" s="46"/>
      <c r="E53" s="47"/>
      <c r="F53" s="42"/>
      <c r="G53" s="42"/>
      <c r="H53" s="42"/>
      <c r="I53" s="42"/>
      <c r="J53" s="42"/>
      <c r="K53" s="42"/>
      <c r="L53" s="42"/>
    </row>
    <row r="54" spans="1:12" s="45" customFormat="1" ht="6" customHeight="1">
      <c r="A54" s="49"/>
      <c r="B54" s="50"/>
      <c r="C54" s="50"/>
      <c r="D54" s="50"/>
      <c r="E54" s="51"/>
      <c r="F54" s="50"/>
      <c r="G54" s="50"/>
      <c r="H54" s="50"/>
      <c r="I54" s="50"/>
      <c r="J54" s="50"/>
      <c r="K54" s="50"/>
      <c r="L54" s="50"/>
    </row>
    <row r="55" spans="1:12" ht="12.75">
      <c r="A55" s="28"/>
      <c r="B55" s="29"/>
      <c r="C55" s="29"/>
      <c r="D55" s="29"/>
      <c r="E55" s="29"/>
      <c r="F55" s="30"/>
      <c r="G55" s="29"/>
      <c r="H55" s="29"/>
      <c r="I55" s="29"/>
      <c r="J55" s="29"/>
      <c r="K55" s="29"/>
      <c r="L55" s="29"/>
    </row>
    <row r="56" spans="1:12" s="23" customFormat="1" ht="12.75">
      <c r="A56" s="123" t="s">
        <v>31</v>
      </c>
      <c r="B56" s="124"/>
      <c r="C56" s="124"/>
      <c r="D56" s="124"/>
      <c r="E56" s="124"/>
      <c r="F56" s="124"/>
      <c r="G56" s="124"/>
      <c r="H56" s="124"/>
      <c r="I56" s="124"/>
      <c r="J56" s="124"/>
      <c r="K56" s="124"/>
      <c r="L56" s="125"/>
    </row>
    <row r="57" ht="12.75">
      <c r="A57" s="24"/>
    </row>
    <row r="58" spans="1:12" ht="13.5">
      <c r="A58" s="31"/>
      <c r="E58" s="10" t="s">
        <v>9</v>
      </c>
      <c r="F58" s="122" t="s">
        <v>80</v>
      </c>
      <c r="G58" s="122"/>
      <c r="H58" s="122"/>
      <c r="I58" s="122"/>
      <c r="J58" s="10" t="s">
        <v>10</v>
      </c>
      <c r="K58" s="53" t="s">
        <v>75</v>
      </c>
      <c r="L58" s="10"/>
    </row>
    <row r="59" spans="1:12" ht="12.75">
      <c r="A59" s="34"/>
      <c r="E59" s="8" t="s">
        <v>17</v>
      </c>
      <c r="F59" s="8" t="s">
        <v>81</v>
      </c>
      <c r="G59" s="55" t="s">
        <v>82</v>
      </c>
      <c r="H59" s="35"/>
      <c r="I59" s="8" t="s">
        <v>83</v>
      </c>
      <c r="J59" s="8" t="s">
        <v>19</v>
      </c>
      <c r="K59" s="54" t="s">
        <v>76</v>
      </c>
      <c r="L59" s="15"/>
    </row>
    <row r="60" spans="2:12" ht="12.75">
      <c r="B60" s="38" t="s">
        <v>52</v>
      </c>
      <c r="C60" s="38"/>
      <c r="D60" s="38"/>
      <c r="E60" s="56">
        <v>0.39</v>
      </c>
      <c r="F60" s="56">
        <v>0.31</v>
      </c>
      <c r="G60" s="57">
        <v>0.0875</v>
      </c>
      <c r="H60" s="58"/>
      <c r="I60" s="56">
        <v>0.0125</v>
      </c>
      <c r="J60" s="56">
        <v>0.1</v>
      </c>
      <c r="K60" s="56">
        <v>0.1</v>
      </c>
      <c r="L60" s="39"/>
    </row>
    <row r="61" spans="2:12" ht="12.75">
      <c r="B61" s="38" t="s">
        <v>53</v>
      </c>
      <c r="C61" s="38"/>
      <c r="D61" s="38"/>
      <c r="E61" s="56">
        <v>0.41</v>
      </c>
      <c r="F61" s="56">
        <v>0.31</v>
      </c>
      <c r="G61" s="57">
        <v>0.0875</v>
      </c>
      <c r="H61" s="58"/>
      <c r="I61" s="56">
        <v>0.0125</v>
      </c>
      <c r="J61" s="56">
        <v>0.08</v>
      </c>
      <c r="K61" s="56">
        <v>0.1</v>
      </c>
      <c r="L61" s="39"/>
    </row>
    <row r="62" spans="2:12" ht="12.75">
      <c r="B62" s="38"/>
      <c r="C62" s="38"/>
      <c r="D62" s="38"/>
      <c r="E62" s="26"/>
      <c r="F62" s="27"/>
      <c r="G62" s="39"/>
      <c r="H62" s="26"/>
      <c r="I62" s="39"/>
      <c r="J62" s="39"/>
      <c r="K62" s="39"/>
      <c r="L62" s="39"/>
    </row>
    <row r="63" spans="1:12" s="23" customFormat="1" ht="12.75">
      <c r="A63" s="126" t="s">
        <v>44</v>
      </c>
      <c r="B63" s="127"/>
      <c r="C63" s="127"/>
      <c r="D63" s="127"/>
      <c r="E63" s="127"/>
      <c r="F63" s="127"/>
      <c r="G63" s="127"/>
      <c r="H63" s="127"/>
      <c r="I63" s="127"/>
      <c r="J63" s="127"/>
      <c r="K63" s="127"/>
      <c r="L63" s="128"/>
    </row>
    <row r="64" spans="1:6" ht="12.75">
      <c r="A64" s="24"/>
      <c r="E64"/>
      <c r="F64" s="16"/>
    </row>
    <row r="65" spans="1:12" ht="52.5" customHeight="1">
      <c r="A65" s="121" t="s">
        <v>84</v>
      </c>
      <c r="B65" s="129"/>
      <c r="C65" s="129"/>
      <c r="D65" s="129"/>
      <c r="E65" s="129"/>
      <c r="F65" s="129"/>
      <c r="G65" s="129"/>
      <c r="H65" s="129"/>
      <c r="I65" s="129"/>
      <c r="J65" s="129"/>
      <c r="K65" s="129"/>
      <c r="L65" s="129"/>
    </row>
    <row r="66" spans="1:6" ht="12.75">
      <c r="A66" s="16"/>
      <c r="E66"/>
      <c r="F66" s="16"/>
    </row>
    <row r="67" spans="2:5" ht="12.75">
      <c r="B67" s="24" t="s">
        <v>45</v>
      </c>
      <c r="C67" s="24"/>
      <c r="D67" s="24"/>
      <c r="E67" s="16">
        <v>188000</v>
      </c>
    </row>
    <row r="68" spans="2:5" ht="12.75">
      <c r="B68" s="24" t="s">
        <v>46</v>
      </c>
      <c r="C68" s="24"/>
      <c r="D68" s="24"/>
      <c r="E68" s="16">
        <v>408000</v>
      </c>
    </row>
    <row r="69" spans="2:5" ht="12.75">
      <c r="B69" s="16" t="s">
        <v>47</v>
      </c>
      <c r="E69" s="16">
        <v>199000</v>
      </c>
    </row>
    <row r="70" ht="12.75">
      <c r="E70" s="16" t="s">
        <v>32</v>
      </c>
    </row>
    <row r="72" ht="12.75">
      <c r="A72" s="24" t="s">
        <v>34</v>
      </c>
    </row>
  </sheetData>
  <sheetProtection/>
  <mergeCells count="12">
    <mergeCell ref="A1:L1"/>
    <mergeCell ref="A2:L2"/>
    <mergeCell ref="A3:L3"/>
    <mergeCell ref="A5:L5"/>
    <mergeCell ref="A4:L4"/>
    <mergeCell ref="A63:L63"/>
    <mergeCell ref="A65:L65"/>
    <mergeCell ref="A31:L31"/>
    <mergeCell ref="A56:L56"/>
    <mergeCell ref="I10:L10"/>
    <mergeCell ref="A8:L8"/>
    <mergeCell ref="F58:I58"/>
  </mergeCells>
  <hyperlinks>
    <hyperlink ref="A4" r:id="rId1" display="www.monticellogamingandraceway.com"/>
  </hyperlinks>
  <printOptions horizontalCentered="1"/>
  <pageMargins left="0.25" right="0.25" top="0.75" bottom="0.5" header="0.5" footer="0.5"/>
  <pageSetup fitToHeight="1" fitToWidth="1" horizontalDpi="600" verticalDpi="600" orientation="portrait" scale="7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Lottery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Roddy</dc:creator>
  <cp:keywords/>
  <dc:description/>
  <cp:lastModifiedBy>Conover (Gaming)</cp:lastModifiedBy>
  <cp:lastPrinted>2019-05-08T15:38:08Z</cp:lastPrinted>
  <dcterms:created xsi:type="dcterms:W3CDTF">2007-10-10T21:13:46Z</dcterms:created>
  <dcterms:modified xsi:type="dcterms:W3CDTF">2019-06-03T19:35:30Z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